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35e2cb0ed5e485/Kotel blaze harmony/Dokumenty obec/Dokumenty obce/Dotace 2025^J2022^J2021^J2019/Akce  kaplička na Habrku/"/>
    </mc:Choice>
  </mc:AlternateContent>
  <xr:revisionPtr revIDLastSave="0" documentId="8_{B5FCCF60-942D-404A-987D-072DFDFF2B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vební rozpočet" sheetId="1" r:id="rId1"/>
    <sheet name="Rozpočet - Jen podskupiny" sheetId="2" r:id="rId2"/>
    <sheet name="Výkaz výměr" sheetId="3" r:id="rId3"/>
    <sheet name="Krycí list rozpočtu" sheetId="4" r:id="rId4"/>
    <sheet name="VORN" sheetId="5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5" l="1"/>
  <c r="I36" i="5" s="1"/>
  <c r="I24" i="4" s="1"/>
  <c r="I26" i="5"/>
  <c r="I25" i="5"/>
  <c r="I24" i="5"/>
  <c r="I17" i="4" s="1"/>
  <c r="I23" i="5"/>
  <c r="I22" i="5"/>
  <c r="I21" i="5"/>
  <c r="I14" i="4" s="1"/>
  <c r="I22" i="4" s="1"/>
  <c r="I17" i="5"/>
  <c r="I16" i="5"/>
  <c r="F15" i="4" s="1"/>
  <c r="I15" i="5"/>
  <c r="I18" i="5" s="1"/>
  <c r="I10" i="5"/>
  <c r="F10" i="5"/>
  <c r="C10" i="5"/>
  <c r="F8" i="5"/>
  <c r="C8" i="5"/>
  <c r="F6" i="5"/>
  <c r="C6" i="5"/>
  <c r="F4" i="5"/>
  <c r="C4" i="5"/>
  <c r="F2" i="5"/>
  <c r="C2" i="5"/>
  <c r="I19" i="4"/>
  <c r="I18" i="4"/>
  <c r="I16" i="4"/>
  <c r="F16" i="4"/>
  <c r="I15" i="4"/>
  <c r="F14" i="4"/>
  <c r="I10" i="4"/>
  <c r="F10" i="4"/>
  <c r="C10" i="4"/>
  <c r="F8" i="4"/>
  <c r="C8" i="4"/>
  <c r="F6" i="4"/>
  <c r="C6" i="4"/>
  <c r="F4" i="4"/>
  <c r="C4" i="4"/>
  <c r="F2" i="4"/>
  <c r="C2" i="4"/>
  <c r="F8" i="3"/>
  <c r="C8" i="3"/>
  <c r="F6" i="3"/>
  <c r="C6" i="3"/>
  <c r="F4" i="3"/>
  <c r="C4" i="3"/>
  <c r="F2" i="3"/>
  <c r="C2" i="3"/>
  <c r="P17" i="2"/>
  <c r="P16" i="2"/>
  <c r="P15" i="2"/>
  <c r="P14" i="2"/>
  <c r="P13" i="2"/>
  <c r="P12" i="2"/>
  <c r="J8" i="2"/>
  <c r="H8" i="2"/>
  <c r="D8" i="2"/>
  <c r="J6" i="2"/>
  <c r="H6" i="2"/>
  <c r="D6" i="2"/>
  <c r="J4" i="2"/>
  <c r="H4" i="2"/>
  <c r="D4" i="2"/>
  <c r="J2" i="2"/>
  <c r="H2" i="2"/>
  <c r="D2" i="2"/>
  <c r="BI76" i="1"/>
  <c r="BE76" i="1"/>
  <c r="BC76" i="1"/>
  <c r="AW76" i="1"/>
  <c r="AV76" i="1"/>
  <c r="AO76" i="1"/>
  <c r="BH76" i="1" s="1"/>
  <c r="AB76" i="1" s="1"/>
  <c r="AN76" i="1"/>
  <c r="H76" i="1" s="1"/>
  <c r="AJ76" i="1"/>
  <c r="AS75" i="1" s="1"/>
  <c r="AI76" i="1"/>
  <c r="AR75" i="1" s="1"/>
  <c r="AG76" i="1"/>
  <c r="AF76" i="1"/>
  <c r="AE76" i="1"/>
  <c r="AD76" i="1"/>
  <c r="AC76" i="1"/>
  <c r="Y76" i="1"/>
  <c r="J76" i="1"/>
  <c r="AK76" i="1" s="1"/>
  <c r="AT75" i="1"/>
  <c r="J75" i="1"/>
  <c r="L17" i="2" s="1"/>
  <c r="N17" i="2" s="1"/>
  <c r="H75" i="1"/>
  <c r="BI74" i="1"/>
  <c r="BE74" i="1"/>
  <c r="BC74" i="1"/>
  <c r="AW74" i="1"/>
  <c r="AV74" i="1"/>
  <c r="AU74" i="1" s="1"/>
  <c r="AO74" i="1"/>
  <c r="BH74" i="1" s="1"/>
  <c r="AD74" i="1" s="1"/>
  <c r="AN74" i="1"/>
  <c r="BG74" i="1" s="1"/>
  <c r="AC74" i="1" s="1"/>
  <c r="AJ74" i="1"/>
  <c r="AI74" i="1"/>
  <c r="AG74" i="1"/>
  <c r="AF74" i="1"/>
  <c r="AE74" i="1"/>
  <c r="AB74" i="1"/>
  <c r="AA74" i="1"/>
  <c r="Y74" i="1"/>
  <c r="J74" i="1"/>
  <c r="AK74" i="1" s="1"/>
  <c r="I74" i="1"/>
  <c r="H74" i="1"/>
  <c r="BI73" i="1"/>
  <c r="BE73" i="1"/>
  <c r="BC73" i="1"/>
  <c r="AV73" i="1"/>
  <c r="AO73" i="1"/>
  <c r="BH73" i="1" s="1"/>
  <c r="AD73" i="1" s="1"/>
  <c r="AN73" i="1"/>
  <c r="BG73" i="1" s="1"/>
  <c r="AC73" i="1" s="1"/>
  <c r="AJ73" i="1"/>
  <c r="AS72" i="1" s="1"/>
  <c r="AI73" i="1"/>
  <c r="AR72" i="1" s="1"/>
  <c r="AG73" i="1"/>
  <c r="AF73" i="1"/>
  <c r="AE73" i="1"/>
  <c r="AB73" i="1"/>
  <c r="AA73" i="1"/>
  <c r="Y73" i="1"/>
  <c r="J73" i="1"/>
  <c r="AK73" i="1" s="1"/>
  <c r="AT72" i="1" s="1"/>
  <c r="H73" i="1"/>
  <c r="H72" i="1"/>
  <c r="BI71" i="1"/>
  <c r="Y71" i="1" s="1"/>
  <c r="BE71" i="1"/>
  <c r="BC71" i="1"/>
  <c r="AW71" i="1"/>
  <c r="AV71" i="1"/>
  <c r="BB71" i="1" s="1"/>
  <c r="AU71" i="1"/>
  <c r="AO71" i="1"/>
  <c r="BH71" i="1" s="1"/>
  <c r="AN71" i="1"/>
  <c r="BG71" i="1" s="1"/>
  <c r="AJ71" i="1"/>
  <c r="AI71" i="1"/>
  <c r="AG71" i="1"/>
  <c r="AF71" i="1"/>
  <c r="AE71" i="1"/>
  <c r="AD71" i="1"/>
  <c r="AC71" i="1"/>
  <c r="AB71" i="1"/>
  <c r="AA71" i="1"/>
  <c r="J71" i="1"/>
  <c r="AK71" i="1" s="1"/>
  <c r="I71" i="1"/>
  <c r="H71" i="1"/>
  <c r="BI69" i="1"/>
  <c r="BE69" i="1"/>
  <c r="BC69" i="1"/>
  <c r="AV69" i="1"/>
  <c r="AO69" i="1"/>
  <c r="BH69" i="1" s="1"/>
  <c r="AD69" i="1" s="1"/>
  <c r="AN69" i="1"/>
  <c r="BG69" i="1" s="1"/>
  <c r="AC69" i="1" s="1"/>
  <c r="AJ69" i="1"/>
  <c r="AI69" i="1"/>
  <c r="AG69" i="1"/>
  <c r="AF69" i="1"/>
  <c r="AE69" i="1"/>
  <c r="AB69" i="1"/>
  <c r="AA69" i="1"/>
  <c r="Y69" i="1"/>
  <c r="J69" i="1"/>
  <c r="AK69" i="1" s="1"/>
  <c r="H69" i="1"/>
  <c r="BI67" i="1"/>
  <c r="BE67" i="1"/>
  <c r="BC67" i="1"/>
  <c r="AW67" i="1"/>
  <c r="AU67" i="1" s="1"/>
  <c r="AO67" i="1"/>
  <c r="BH67" i="1" s="1"/>
  <c r="AD67" i="1" s="1"/>
  <c r="AN67" i="1"/>
  <c r="AV67" i="1" s="1"/>
  <c r="AJ67" i="1"/>
  <c r="AI67" i="1"/>
  <c r="AR66" i="1" s="1"/>
  <c r="AG67" i="1"/>
  <c r="AF67" i="1"/>
  <c r="AE67" i="1"/>
  <c r="AB67" i="1"/>
  <c r="AA67" i="1"/>
  <c r="Y67" i="1"/>
  <c r="J67" i="1"/>
  <c r="AK67" i="1" s="1"/>
  <c r="AT66" i="1" s="1"/>
  <c r="I67" i="1"/>
  <c r="H67" i="1"/>
  <c r="H66" i="1" s="1"/>
  <c r="J66" i="1"/>
  <c r="L15" i="2" s="1"/>
  <c r="N15" i="2" s="1"/>
  <c r="BI65" i="1"/>
  <c r="BH65" i="1"/>
  <c r="AD65" i="1" s="1"/>
  <c r="BE65" i="1"/>
  <c r="BC65" i="1"/>
  <c r="AW65" i="1"/>
  <c r="AV65" i="1"/>
  <c r="AO65" i="1"/>
  <c r="AN65" i="1"/>
  <c r="BG65" i="1" s="1"/>
  <c r="AC65" i="1" s="1"/>
  <c r="AJ65" i="1"/>
  <c r="AI65" i="1"/>
  <c r="AG65" i="1"/>
  <c r="AF65" i="1"/>
  <c r="AE65" i="1"/>
  <c r="AB65" i="1"/>
  <c r="AA65" i="1"/>
  <c r="Y65" i="1"/>
  <c r="J65" i="1"/>
  <c r="AK65" i="1" s="1"/>
  <c r="I65" i="1"/>
  <c r="H65" i="1"/>
  <c r="BI64" i="1"/>
  <c r="BE64" i="1"/>
  <c r="BC64" i="1"/>
  <c r="AW64" i="1"/>
  <c r="AU64" i="1" s="1"/>
  <c r="AO64" i="1"/>
  <c r="BH64" i="1" s="1"/>
  <c r="AD64" i="1" s="1"/>
  <c r="AN64" i="1"/>
  <c r="AV64" i="1" s="1"/>
  <c r="BB64" i="1" s="1"/>
  <c r="AK64" i="1"/>
  <c r="AJ64" i="1"/>
  <c r="AI64" i="1"/>
  <c r="AG64" i="1"/>
  <c r="AF64" i="1"/>
  <c r="AE64" i="1"/>
  <c r="AB64" i="1"/>
  <c r="AA64" i="1"/>
  <c r="Y64" i="1"/>
  <c r="J64" i="1"/>
  <c r="I64" i="1"/>
  <c r="H64" i="1"/>
  <c r="BI63" i="1"/>
  <c r="BG63" i="1"/>
  <c r="AE63" i="1" s="1"/>
  <c r="BE63" i="1"/>
  <c r="BC63" i="1"/>
  <c r="AO63" i="1"/>
  <c r="AW63" i="1" s="1"/>
  <c r="AN63" i="1"/>
  <c r="H63" i="1" s="1"/>
  <c r="AK63" i="1"/>
  <c r="AJ63" i="1"/>
  <c r="AS56" i="1" s="1"/>
  <c r="AI63" i="1"/>
  <c r="AG63" i="1"/>
  <c r="AD63" i="1"/>
  <c r="AC63" i="1"/>
  <c r="AB63" i="1"/>
  <c r="AA63" i="1"/>
  <c r="Y63" i="1"/>
  <c r="J63" i="1"/>
  <c r="I63" i="1"/>
  <c r="BI60" i="1"/>
  <c r="BE60" i="1"/>
  <c r="BC60" i="1"/>
  <c r="AO60" i="1"/>
  <c r="I60" i="1" s="1"/>
  <c r="AN60" i="1"/>
  <c r="BG60" i="1" s="1"/>
  <c r="AC60" i="1" s="1"/>
  <c r="AK60" i="1"/>
  <c r="AJ60" i="1"/>
  <c r="AI60" i="1"/>
  <c r="AG60" i="1"/>
  <c r="AF60" i="1"/>
  <c r="AE60" i="1"/>
  <c r="AB60" i="1"/>
  <c r="AA60" i="1"/>
  <c r="Y60" i="1"/>
  <c r="J60" i="1"/>
  <c r="BI57" i="1"/>
  <c r="BH57" i="1"/>
  <c r="AD57" i="1" s="1"/>
  <c r="BG57" i="1"/>
  <c r="AC57" i="1" s="1"/>
  <c r="BE57" i="1"/>
  <c r="BC57" i="1"/>
  <c r="AO57" i="1"/>
  <c r="AN57" i="1"/>
  <c r="AV57" i="1" s="1"/>
  <c r="AK57" i="1"/>
  <c r="AT56" i="1" s="1"/>
  <c r="AJ57" i="1"/>
  <c r="AI57" i="1"/>
  <c r="AR56" i="1" s="1"/>
  <c r="AG57" i="1"/>
  <c r="AF57" i="1"/>
  <c r="AE57" i="1"/>
  <c r="AB57" i="1"/>
  <c r="AA57" i="1"/>
  <c r="Y57" i="1"/>
  <c r="J57" i="1"/>
  <c r="BI55" i="1"/>
  <c r="Y55" i="1" s="1"/>
  <c r="BH55" i="1"/>
  <c r="BE55" i="1"/>
  <c r="BC55" i="1"/>
  <c r="AO55" i="1"/>
  <c r="I55" i="1" s="1"/>
  <c r="AN55" i="1"/>
  <c r="AK55" i="1"/>
  <c r="AJ55" i="1"/>
  <c r="AI55" i="1"/>
  <c r="AG55" i="1"/>
  <c r="AF55" i="1"/>
  <c r="AE55" i="1"/>
  <c r="AD55" i="1"/>
  <c r="AC55" i="1"/>
  <c r="AB55" i="1"/>
  <c r="AA55" i="1"/>
  <c r="J55" i="1"/>
  <c r="BI53" i="1"/>
  <c r="BG53" i="1"/>
  <c r="AC53" i="1" s="1"/>
  <c r="BE53" i="1"/>
  <c r="BC53" i="1"/>
  <c r="AO53" i="1"/>
  <c r="BH53" i="1" s="1"/>
  <c r="AD53" i="1" s="1"/>
  <c r="AN53" i="1"/>
  <c r="AV53" i="1" s="1"/>
  <c r="AK53" i="1"/>
  <c r="AJ53" i="1"/>
  <c r="AI53" i="1"/>
  <c r="AG53" i="1"/>
  <c r="AF53" i="1"/>
  <c r="AE53" i="1"/>
  <c r="AB53" i="1"/>
  <c r="AA53" i="1"/>
  <c r="Y53" i="1"/>
  <c r="J53" i="1"/>
  <c r="H53" i="1"/>
  <c r="BI51" i="1"/>
  <c r="BE51" i="1"/>
  <c r="BC51" i="1"/>
  <c r="AO51" i="1"/>
  <c r="AW51" i="1" s="1"/>
  <c r="AN51" i="1"/>
  <c r="BG51" i="1" s="1"/>
  <c r="AC51" i="1" s="1"/>
  <c r="AJ51" i="1"/>
  <c r="AS46" i="1" s="1"/>
  <c r="AI51" i="1"/>
  <c r="AG51" i="1"/>
  <c r="AF51" i="1"/>
  <c r="AE51" i="1"/>
  <c r="AB51" i="1"/>
  <c r="AA51" i="1"/>
  <c r="Y51" i="1"/>
  <c r="J51" i="1"/>
  <c r="AK51" i="1" s="1"/>
  <c r="BI49" i="1"/>
  <c r="BH49" i="1"/>
  <c r="AD49" i="1" s="1"/>
  <c r="BE49" i="1"/>
  <c r="BC49" i="1"/>
  <c r="AV49" i="1"/>
  <c r="AO49" i="1"/>
  <c r="AW49" i="1" s="1"/>
  <c r="AU49" i="1" s="1"/>
  <c r="AN49" i="1"/>
  <c r="BG49" i="1" s="1"/>
  <c r="AC49" i="1" s="1"/>
  <c r="AK49" i="1"/>
  <c r="AJ49" i="1"/>
  <c r="AI49" i="1"/>
  <c r="AG49" i="1"/>
  <c r="AF49" i="1"/>
  <c r="AE49" i="1"/>
  <c r="AB49" i="1"/>
  <c r="AA49" i="1"/>
  <c r="Y49" i="1"/>
  <c r="J49" i="1"/>
  <c r="H49" i="1"/>
  <c r="BI47" i="1"/>
  <c r="BE47" i="1"/>
  <c r="BC47" i="1"/>
  <c r="AW47" i="1"/>
  <c r="AO47" i="1"/>
  <c r="BH47" i="1" s="1"/>
  <c r="AD47" i="1" s="1"/>
  <c r="AN47" i="1"/>
  <c r="AV47" i="1" s="1"/>
  <c r="AJ47" i="1"/>
  <c r="AI47" i="1"/>
  <c r="AR46" i="1" s="1"/>
  <c r="AG47" i="1"/>
  <c r="AF47" i="1"/>
  <c r="AE47" i="1"/>
  <c r="AB47" i="1"/>
  <c r="AA47" i="1"/>
  <c r="Y47" i="1"/>
  <c r="J47" i="1"/>
  <c r="I47" i="1"/>
  <c r="H47" i="1"/>
  <c r="BI45" i="1"/>
  <c r="Y45" i="1" s="1"/>
  <c r="BH45" i="1"/>
  <c r="BE45" i="1"/>
  <c r="BC45" i="1"/>
  <c r="AW45" i="1"/>
  <c r="AU45" i="1" s="1"/>
  <c r="AV45" i="1"/>
  <c r="AO45" i="1"/>
  <c r="AN45" i="1"/>
  <c r="BG45" i="1" s="1"/>
  <c r="AK45" i="1"/>
  <c r="AJ45" i="1"/>
  <c r="AI45" i="1"/>
  <c r="AG45" i="1"/>
  <c r="AF45" i="1"/>
  <c r="AE45" i="1"/>
  <c r="AD45" i="1"/>
  <c r="AC45" i="1"/>
  <c r="AB45" i="1"/>
  <c r="AA45" i="1"/>
  <c r="J45" i="1"/>
  <c r="I45" i="1"/>
  <c r="H45" i="1"/>
  <c r="BI43" i="1"/>
  <c r="BE43" i="1"/>
  <c r="BC43" i="1"/>
  <c r="BB43" i="1"/>
  <c r="AW43" i="1"/>
  <c r="AV43" i="1"/>
  <c r="AU43" i="1" s="1"/>
  <c r="AO43" i="1"/>
  <c r="BH43" i="1" s="1"/>
  <c r="AB43" i="1" s="1"/>
  <c r="AN43" i="1"/>
  <c r="BG43" i="1" s="1"/>
  <c r="AA43" i="1" s="1"/>
  <c r="AJ43" i="1"/>
  <c r="AI43" i="1"/>
  <c r="AG43" i="1"/>
  <c r="AF43" i="1"/>
  <c r="AE43" i="1"/>
  <c r="AD43" i="1"/>
  <c r="AC43" i="1"/>
  <c r="Y43" i="1"/>
  <c r="J43" i="1"/>
  <c r="AK43" i="1" s="1"/>
  <c r="I43" i="1"/>
  <c r="H43" i="1"/>
  <c r="BI37" i="1"/>
  <c r="BE37" i="1"/>
  <c r="BC37" i="1"/>
  <c r="AV37" i="1"/>
  <c r="AO37" i="1"/>
  <c r="BH37" i="1" s="1"/>
  <c r="AB37" i="1" s="1"/>
  <c r="AN37" i="1"/>
  <c r="BG37" i="1" s="1"/>
  <c r="AJ37" i="1"/>
  <c r="AI37" i="1"/>
  <c r="AG37" i="1"/>
  <c r="AF37" i="1"/>
  <c r="AE37" i="1"/>
  <c r="AD37" i="1"/>
  <c r="AC37" i="1"/>
  <c r="AA37" i="1"/>
  <c r="Y37" i="1"/>
  <c r="J37" i="1"/>
  <c r="AK37" i="1" s="1"/>
  <c r="H37" i="1"/>
  <c r="BI31" i="1"/>
  <c r="BE31" i="1"/>
  <c r="BC31" i="1"/>
  <c r="AW31" i="1"/>
  <c r="BB31" i="1" s="1"/>
  <c r="AO31" i="1"/>
  <c r="BH31" i="1" s="1"/>
  <c r="AN31" i="1"/>
  <c r="AV31" i="1" s="1"/>
  <c r="AJ31" i="1"/>
  <c r="AI31" i="1"/>
  <c r="AG31" i="1"/>
  <c r="AF31" i="1"/>
  <c r="AE31" i="1"/>
  <c r="AD31" i="1"/>
  <c r="AC31" i="1"/>
  <c r="AB31" i="1"/>
  <c r="Y31" i="1"/>
  <c r="J31" i="1"/>
  <c r="AK31" i="1" s="1"/>
  <c r="I31" i="1"/>
  <c r="H31" i="1"/>
  <c r="BI26" i="1"/>
  <c r="BG26" i="1"/>
  <c r="BE26" i="1"/>
  <c r="BC26" i="1"/>
  <c r="BB26" i="1"/>
  <c r="AV26" i="1"/>
  <c r="AO26" i="1"/>
  <c r="AW26" i="1" s="1"/>
  <c r="AN26" i="1"/>
  <c r="H26" i="1" s="1"/>
  <c r="AK26" i="1"/>
  <c r="AJ26" i="1"/>
  <c r="AI26" i="1"/>
  <c r="AG26" i="1"/>
  <c r="AF26" i="1"/>
  <c r="AE26" i="1"/>
  <c r="AD26" i="1"/>
  <c r="AC26" i="1"/>
  <c r="AA26" i="1"/>
  <c r="Y26" i="1"/>
  <c r="J26" i="1"/>
  <c r="I26" i="1"/>
  <c r="BI21" i="1"/>
  <c r="BE21" i="1"/>
  <c r="BC21" i="1"/>
  <c r="AO21" i="1"/>
  <c r="I21" i="1" s="1"/>
  <c r="AN21" i="1"/>
  <c r="BG21" i="1" s="1"/>
  <c r="AA21" i="1" s="1"/>
  <c r="AK21" i="1"/>
  <c r="AJ21" i="1"/>
  <c r="AI21" i="1"/>
  <c r="AG21" i="1"/>
  <c r="AF21" i="1"/>
  <c r="AE21" i="1"/>
  <c r="AD21" i="1"/>
  <c r="AC21" i="1"/>
  <c r="Y21" i="1"/>
  <c r="J21" i="1"/>
  <c r="BI19" i="1"/>
  <c r="BH19" i="1"/>
  <c r="BG19" i="1"/>
  <c r="AA19" i="1" s="1"/>
  <c r="BE19" i="1"/>
  <c r="BC19" i="1"/>
  <c r="AO19" i="1"/>
  <c r="AW19" i="1" s="1"/>
  <c r="AN19" i="1"/>
  <c r="AV19" i="1" s="1"/>
  <c r="AK19" i="1"/>
  <c r="AJ19" i="1"/>
  <c r="AI19" i="1"/>
  <c r="AG19" i="1"/>
  <c r="AF19" i="1"/>
  <c r="AE19" i="1"/>
  <c r="AD19" i="1"/>
  <c r="AC19" i="1"/>
  <c r="AB19" i="1"/>
  <c r="Y19" i="1"/>
  <c r="J19" i="1"/>
  <c r="I19" i="1"/>
  <c r="BI17" i="1"/>
  <c r="BG17" i="1"/>
  <c r="AA17" i="1" s="1"/>
  <c r="BE17" i="1"/>
  <c r="BC17" i="1"/>
  <c r="AW17" i="1"/>
  <c r="AV17" i="1"/>
  <c r="AO17" i="1"/>
  <c r="BH17" i="1" s="1"/>
  <c r="AB17" i="1" s="1"/>
  <c r="AN17" i="1"/>
  <c r="AJ17" i="1"/>
  <c r="AI17" i="1"/>
  <c r="AG17" i="1"/>
  <c r="AF17" i="1"/>
  <c r="AE17" i="1"/>
  <c r="AD17" i="1"/>
  <c r="AC17" i="1"/>
  <c r="Y17" i="1"/>
  <c r="J17" i="1"/>
  <c r="AK17" i="1" s="1"/>
  <c r="I17" i="1"/>
  <c r="H17" i="1"/>
  <c r="BI15" i="1"/>
  <c r="BE15" i="1"/>
  <c r="BC15" i="1"/>
  <c r="AW15" i="1"/>
  <c r="AV15" i="1"/>
  <c r="AU15" i="1" s="1"/>
  <c r="AO15" i="1"/>
  <c r="BH15" i="1" s="1"/>
  <c r="AB15" i="1" s="1"/>
  <c r="AN15" i="1"/>
  <c r="BG15" i="1" s="1"/>
  <c r="AA15" i="1" s="1"/>
  <c r="AK15" i="1"/>
  <c r="AJ15" i="1"/>
  <c r="AI15" i="1"/>
  <c r="AG15" i="1"/>
  <c r="AF15" i="1"/>
  <c r="AE15" i="1"/>
  <c r="AD15" i="1"/>
  <c r="AC15" i="1"/>
  <c r="Y15" i="1"/>
  <c r="J15" i="1"/>
  <c r="I15" i="1"/>
  <c r="H15" i="1"/>
  <c r="BI13" i="1"/>
  <c r="BE13" i="1"/>
  <c r="BC13" i="1"/>
  <c r="AW13" i="1"/>
  <c r="AV13" i="1"/>
  <c r="BB13" i="1" s="1"/>
  <c r="AU13" i="1"/>
  <c r="AO13" i="1"/>
  <c r="BH13" i="1" s="1"/>
  <c r="AB13" i="1" s="1"/>
  <c r="AN13" i="1"/>
  <c r="BG13" i="1" s="1"/>
  <c r="AA13" i="1" s="1"/>
  <c r="AJ13" i="1"/>
  <c r="AI13" i="1"/>
  <c r="AG13" i="1"/>
  <c r="AF13" i="1"/>
  <c r="AE13" i="1"/>
  <c r="AD13" i="1"/>
  <c r="AC13" i="1"/>
  <c r="Y13" i="1"/>
  <c r="J13" i="1"/>
  <c r="AK13" i="1" s="1"/>
  <c r="I13" i="1"/>
  <c r="AS12" i="1"/>
  <c r="J12" i="1"/>
  <c r="L12" i="2" s="1"/>
  <c r="N12" i="2" s="1"/>
  <c r="AT1" i="1"/>
  <c r="AS1" i="1"/>
  <c r="AR1" i="1"/>
  <c r="BB17" i="1" l="1"/>
  <c r="AU31" i="1"/>
  <c r="BB67" i="1"/>
  <c r="AU76" i="1"/>
  <c r="BB65" i="1"/>
  <c r="BB19" i="1"/>
  <c r="AU19" i="1"/>
  <c r="BB47" i="1"/>
  <c r="AU47" i="1"/>
  <c r="AK47" i="1"/>
  <c r="AT46" i="1" s="1"/>
  <c r="J46" i="1"/>
  <c r="L13" i="2" s="1"/>
  <c r="N13" i="2" s="1"/>
  <c r="H13" i="1"/>
  <c r="BB15" i="1"/>
  <c r="AW21" i="1"/>
  <c r="AW37" i="1"/>
  <c r="BB37" i="1" s="1"/>
  <c r="BG47" i="1"/>
  <c r="AC47" i="1" s="1"/>
  <c r="H51" i="1"/>
  <c r="AV51" i="1"/>
  <c r="AS66" i="1"/>
  <c r="AU69" i="1"/>
  <c r="J72" i="1"/>
  <c r="L16" i="2" s="1"/>
  <c r="N16" i="2" s="1"/>
  <c r="BB74" i="1"/>
  <c r="BB76" i="1"/>
  <c r="C20" i="4"/>
  <c r="I51" i="1"/>
  <c r="AW55" i="1"/>
  <c r="AW57" i="1"/>
  <c r="BB57" i="1" s="1"/>
  <c r="I57" i="1"/>
  <c r="I56" i="1" s="1"/>
  <c r="J56" i="1"/>
  <c r="L14" i="2" s="1"/>
  <c r="N14" i="2" s="1"/>
  <c r="AW69" i="1"/>
  <c r="BB69" i="1" s="1"/>
  <c r="AW73" i="1"/>
  <c r="AU73" i="1" s="1"/>
  <c r="I76" i="1"/>
  <c r="I75" i="1" s="1"/>
  <c r="AW60" i="1"/>
  <c r="AT12" i="1"/>
  <c r="AR12" i="1"/>
  <c r="C27" i="4"/>
  <c r="I37" i="1"/>
  <c r="I12" i="1" s="1"/>
  <c r="BB49" i="1"/>
  <c r="BB73" i="1"/>
  <c r="F22" i="4"/>
  <c r="C29" i="4" s="1"/>
  <c r="F29" i="4" s="1"/>
  <c r="C21" i="4"/>
  <c r="C28" i="4"/>
  <c r="F28" i="4" s="1"/>
  <c r="AU17" i="1"/>
  <c r="H19" i="1"/>
  <c r="BB45" i="1"/>
  <c r="I49" i="1"/>
  <c r="H57" i="1"/>
  <c r="H56" i="1" s="1"/>
  <c r="BH60" i="1"/>
  <c r="AD60" i="1" s="1"/>
  <c r="AV63" i="1"/>
  <c r="AU65" i="1"/>
  <c r="I69" i="1"/>
  <c r="I66" i="1" s="1"/>
  <c r="I73" i="1"/>
  <c r="I72" i="1" s="1"/>
  <c r="C18" i="4"/>
  <c r="AV55" i="1"/>
  <c r="H55" i="1"/>
  <c r="H46" i="1" s="1"/>
  <c r="C17" i="4"/>
  <c r="BH21" i="1"/>
  <c r="AB21" i="1" s="1"/>
  <c r="BH51" i="1"/>
  <c r="AD51" i="1" s="1"/>
  <c r="AW53" i="1"/>
  <c r="I53" i="1"/>
  <c r="BG55" i="1"/>
  <c r="AV21" i="1"/>
  <c r="H21" i="1"/>
  <c r="AU26" i="1"/>
  <c r="AV60" i="1"/>
  <c r="H60" i="1"/>
  <c r="I27" i="5"/>
  <c r="F29" i="5" s="1"/>
  <c r="BH26" i="1"/>
  <c r="AB26" i="1" s="1"/>
  <c r="BG31" i="1"/>
  <c r="AA31" i="1" s="1"/>
  <c r="C14" i="4" s="1"/>
  <c r="BH63" i="1"/>
  <c r="AF63" i="1" s="1"/>
  <c r="C19" i="4" s="1"/>
  <c r="BG64" i="1"/>
  <c r="AC64" i="1" s="1"/>
  <c r="BG67" i="1"/>
  <c r="AC67" i="1" s="1"/>
  <c r="BG76" i="1"/>
  <c r="AA76" i="1" s="1"/>
  <c r="I46" i="1" l="1"/>
  <c r="L18" i="2"/>
  <c r="C15" i="4"/>
  <c r="C16" i="4"/>
  <c r="C22" i="4"/>
  <c r="H12" i="1"/>
  <c r="J79" i="1"/>
  <c r="AU37" i="1"/>
  <c r="AU57" i="1"/>
  <c r="BB21" i="1"/>
  <c r="AU21" i="1"/>
  <c r="BB55" i="1"/>
  <c r="AU55" i="1"/>
  <c r="AU53" i="1"/>
  <c r="BB53" i="1"/>
  <c r="AU63" i="1"/>
  <c r="BB63" i="1"/>
  <c r="BB51" i="1"/>
  <c r="AU51" i="1"/>
  <c r="BB60" i="1"/>
  <c r="AU60" i="1"/>
  <c r="I28" i="4"/>
  <c r="I29" i="4" s="1"/>
</calcChain>
</file>

<file path=xl/sharedStrings.xml><?xml version="1.0" encoding="utf-8"?>
<sst xmlns="http://schemas.openxmlformats.org/spreadsheetml/2006/main" count="1042" uniqueCount="231">
  <si>
    <t>Slepý stavební rozpočet</t>
  </si>
  <si>
    <t>Název stavby:</t>
  </si>
  <si>
    <t>Oprava kaple Urbanice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</si>
  <si>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</si>
  <si>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</si>
  <si>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</si>
  <si>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</si>
  <si>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</si>
  <si>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</si>
  <si>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</si>
  <si>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</si>
  <si>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/>
  </si>
  <si>
    <t>Zhotovitel:</t>
  </si>
  <si>
    <t>JKSO:</t>
  </si>
  <si>
    <t>Zpracováno dne:</t>
  </si>
  <si>
    <t>15.02.2025</t>
  </si>
  <si>
    <t>Zpracoval:</t>
  </si>
  <si>
    <t>Martin Misař</t>
  </si>
  <si>
    <t>Č</t>
  </si>
  <si>
    <t>Kód</t>
  </si>
  <si>
    <t>Zkrácený popis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</si>
  <si>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</si>
  <si>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</si>
  <si>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</si>
  <si>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</si>
  <si>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</si>
  <si>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</si>
  <si>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</si>
  <si>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</si>
  <si>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</si>
  <si>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</si>
  <si>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</si>
  <si>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</si>
  <si>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</si>
  <si>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</si>
  <si>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</si>
  <si>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</si>
  <si>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</si>
  <si>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</si>
  <si>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</si>
  <si>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</si>
  <si>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</si>
  <si>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</si>
  <si>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</si>
  <si>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</si>
  <si>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62</t>
  </si>
  <si>
    <t>Úprava povrchů vnější</t>
  </si>
  <si>
    <t>1</t>
  </si>
  <si>
    <t>978300020RA0</t>
  </si>
  <si>
    <t>Otlučení vnějších omítek stěn vápenocem.100 %</t>
  </si>
  <si>
    <t>m2</t>
  </si>
  <si>
    <t>62_</t>
  </si>
  <si>
    <t>6_</t>
  </si>
  <si>
    <t>_</t>
  </si>
  <si>
    <t>(2,65+2,65+2,8+2,8)*0,54</t>
  </si>
  <si>
    <t>sokl</t>
  </si>
  <si>
    <t>2</t>
  </si>
  <si>
    <t>216903111R00</t>
  </si>
  <si>
    <t>Otryskání ploch pískem FP, stěn a rubů kleneb</t>
  </si>
  <si>
    <t>3</t>
  </si>
  <si>
    <t>602011121R00</t>
  </si>
  <si>
    <t>Omítka na stěnách jádrová cementová sanační Cemix, ručně</t>
  </si>
  <si>
    <t>4</t>
  </si>
  <si>
    <t>622434115RT1</t>
  </si>
  <si>
    <t>Omítkový odvlhčovací systém Cemix, vnější, vysoušecí cementová omítka 2x, vysoušecí vápenocementová jemná omítka</t>
  </si>
  <si>
    <t>5</t>
  </si>
  <si>
    <t>783801812R00x</t>
  </si>
  <si>
    <t>Odstranění nátěrů z omítek stěn, oškrabáním, vč.příplatku za složitost provedení</t>
  </si>
  <si>
    <t>2,67*2,3*2</t>
  </si>
  <si>
    <t>2x stěna</t>
  </si>
  <si>
    <t>2,8*(2,85-0,55)*2</t>
  </si>
  <si>
    <t>(0,2+0,44)*2,8*2</t>
  </si>
  <si>
    <t>šambrány</t>
  </si>
  <si>
    <t>2,2*2,2*0,5*2</t>
  </si>
  <si>
    <t>štíty</t>
  </si>
  <si>
    <t>6</t>
  </si>
  <si>
    <t>622421758R00</t>
  </si>
  <si>
    <t>Oprava vnější štukové omítky stěn, do 80 % plochy, stupeň složitosti V, ze suchých vápenných směsí</t>
  </si>
  <si>
    <t>7</t>
  </si>
  <si>
    <t>622471319RU4</t>
  </si>
  <si>
    <t>Nátěr nebo nástřik stěn vnějších, složitost 5, penetrace, 2x nátěr</t>
  </si>
  <si>
    <t>8</t>
  </si>
  <si>
    <t>620401162R00</t>
  </si>
  <si>
    <t>Nátěr hydrofobizační Hasit PP 405 Hydrophob 2x</t>
  </si>
  <si>
    <t>9</t>
  </si>
  <si>
    <t>620991121R00</t>
  </si>
  <si>
    <t>Zakrývání výplní vnějších otvorů z lešení</t>
  </si>
  <si>
    <t>1,2*0,8*2</t>
  </si>
  <si>
    <t>zakrytí oken</t>
  </si>
  <si>
    <t>10</t>
  </si>
  <si>
    <t>998011001R00</t>
  </si>
  <si>
    <t>Přesun hmot pro budovy zděné výšky do 6 m</t>
  </si>
  <si>
    <t>t</t>
  </si>
  <si>
    <t>762</t>
  </si>
  <si>
    <t>Konstrukce tesařské</t>
  </si>
  <si>
    <t>11</t>
  </si>
  <si>
    <t>762900030RAA</t>
  </si>
  <si>
    <t>Demontáž dřevěného krovu</t>
  </si>
  <si>
    <t>762_</t>
  </si>
  <si>
    <t>76_</t>
  </si>
  <si>
    <t>2,2*2,67*2</t>
  </si>
  <si>
    <t>plocha střechy</t>
  </si>
  <si>
    <t>12</t>
  </si>
  <si>
    <t>762342811R00</t>
  </si>
  <si>
    <t>Demontáž laťování střech, rozteč latí do 22 cm</t>
  </si>
  <si>
    <t>13</t>
  </si>
  <si>
    <t>762342814R00</t>
  </si>
  <si>
    <t>Demontáž dřevěných kontralatí</t>
  </si>
  <si>
    <t>14</t>
  </si>
  <si>
    <t>762100010RAB</t>
  </si>
  <si>
    <t>Krov dřevěný, laťování, bednění přesahu střechy, dvojité laťování, vč.impregnace</t>
  </si>
  <si>
    <t>15</t>
  </si>
  <si>
    <t>998762102R00</t>
  </si>
  <si>
    <t>Přesun hmot pro tesařské konstrukce, výšky do 12 m</t>
  </si>
  <si>
    <t>764</t>
  </si>
  <si>
    <t>Konstrukce klempířské</t>
  </si>
  <si>
    <t>16</t>
  </si>
  <si>
    <t>783900020R</t>
  </si>
  <si>
    <t>Odstranění nátěrů z kovových doplňkových kostrukcí, opálením, vč. příplatku za zvýšenou pracnost</t>
  </si>
  <si>
    <t>764_</t>
  </si>
  <si>
    <t>1,5*1*4</t>
  </si>
  <si>
    <t>věžička stěny</t>
  </si>
  <si>
    <t>0,9*1*0,5*4+1,3*0,5*4</t>
  </si>
  <si>
    <t>věžička špice</t>
  </si>
  <si>
    <t>17</t>
  </si>
  <si>
    <t>783520010R</t>
  </si>
  <si>
    <t>Nátěr klempířských konstrukcí syntetický, základní reaktivní a dvojnásobný krycí, vč. příplatku za zvýšenou pracnost</t>
  </si>
  <si>
    <t>18</t>
  </si>
  <si>
    <t>760811151R00x</t>
  </si>
  <si>
    <t>Demontáž korouhve s křížem</t>
  </si>
  <si>
    <t>kus</t>
  </si>
  <si>
    <t>19</t>
  </si>
  <si>
    <t>764211236RT2x</t>
  </si>
  <si>
    <t>Renovace korouhve a kříže - předběžná cena</t>
  </si>
  <si>
    <t>soubor</t>
  </si>
  <si>
    <t>20</t>
  </si>
  <si>
    <t>783522900R00x</t>
  </si>
  <si>
    <t>Oprava klempířských výrobků historickými postupy - předběžná cena</t>
  </si>
  <si>
    <t>765</t>
  </si>
  <si>
    <t>Krytina tvrdá</t>
  </si>
  <si>
    <t>21</t>
  </si>
  <si>
    <t>765900010RAA</t>
  </si>
  <si>
    <t>Demontáž pálené krytiny, bobrovka</t>
  </si>
  <si>
    <t>765_</t>
  </si>
  <si>
    <t>22</t>
  </si>
  <si>
    <t>765319221RM4</t>
  </si>
  <si>
    <t>Montáž krytiny drážk.střech slož.na sucho do 12ks/m2, taška TONDACH Sensaton / Samba 11</t>
  </si>
  <si>
    <t>23</t>
  </si>
  <si>
    <t>998765101R00</t>
  </si>
  <si>
    <t>Přesun hmot pro krytiny tvrdé, výšky do 6 m</t>
  </si>
  <si>
    <t>766</t>
  </si>
  <si>
    <t>Konstrukce truhlářské</t>
  </si>
  <si>
    <t>24</t>
  </si>
  <si>
    <t>766660010R</t>
  </si>
  <si>
    <t>Demontáž, repase, zpětná montaž - dveře - předběžná cena</t>
  </si>
  <si>
    <t>766_</t>
  </si>
  <si>
    <t>25</t>
  </si>
  <si>
    <t>766660012R</t>
  </si>
  <si>
    <t>Demontáž, repase, zpětná montáž - okna - předběžná cena</t>
  </si>
  <si>
    <t>94</t>
  </si>
  <si>
    <t>Lešení a stavební výtahy</t>
  </si>
  <si>
    <t>26</t>
  </si>
  <si>
    <t>941940031RAA</t>
  </si>
  <si>
    <t>Lešení lehké fasádní, š. 1 m, výška do 10 m, montáž, demontáž, doprava, pronájem 1 měsíc</t>
  </si>
  <si>
    <t>94_</t>
  </si>
  <si>
    <t>9_</t>
  </si>
  <si>
    <t>4,6*3,6*2</t>
  </si>
  <si>
    <t>4,8*3,6*2</t>
  </si>
  <si>
    <t>Celkem:</t>
  </si>
  <si>
    <t>Poznámka:</t>
  </si>
  <si>
    <t>Slepý stavební rozpočet - Jen podskupiny</t>
  </si>
  <si>
    <t>T</t>
  </si>
  <si>
    <t>Výkaz výměr</t>
  </si>
  <si>
    <t>Objekt</t>
  </si>
  <si>
    <t>Potřebné množství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</si>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</sst>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4" fontId="2" fillId="2" borderId="27" xfId="0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29" xfId="0" applyBorder="1"/>
    <xf numFmtId="0" fontId="0" fillId="0" borderId="30" xfId="0" applyBorder="1"/>
    <xf numFmtId="0" fontId="4" fillId="0" borderId="30" xfId="0" applyFont="1" applyBorder="1" applyAlignment="1">
      <alignment horizontal="left" vertical="center"/>
    </xf>
    <xf numFmtId="4" fontId="4" fillId="0" borderId="30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5" xfId="0" applyFont="1" applyBorder="1" applyAlignment="1">
      <alignment horizontal="right" vertical="center"/>
    </xf>
    <xf numFmtId="0" fontId="2" fillId="0" borderId="46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4" fontId="3" fillId="0" borderId="76" xfId="0" applyNumberFormat="1" applyFont="1" applyBorder="1" applyAlignment="1">
      <alignment horizontal="right" vertical="center"/>
    </xf>
    <xf numFmtId="0" fontId="3" fillId="0" borderId="76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0" xfId="0" applyFont="1" applyBorder="1" applyAlignment="1">
      <alignment horizontal="right" vertical="center"/>
    </xf>
    <xf numFmtId="4" fontId="2" fillId="0" borderId="80" xfId="0" applyNumberFormat="1" applyFont="1" applyBorder="1" applyAlignment="1">
      <alignment horizontal="right" vertical="center"/>
    </xf>
    <xf numFmtId="0" fontId="11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4" fontId="12" fillId="0" borderId="53" xfId="0" applyNumberFormat="1" applyFont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3" fillId="0" borderId="0" xfId="0" applyFont="1"/>
    <xf numFmtId="0" fontId="11" fillId="0" borderId="56" xfId="0" applyFont="1" applyBorder="1" applyAlignment="1">
      <alignment horizontal="left" vertical="center"/>
    </xf>
    <xf numFmtId="4" fontId="12" fillId="0" borderId="60" xfId="0" applyNumberFormat="1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4" fontId="12" fillId="0" borderId="51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1" fillId="2" borderId="50" xfId="0" applyNumberFormat="1" applyFont="1" applyFill="1" applyBorder="1" applyAlignment="1">
      <alignment horizontal="right" vertical="center"/>
    </xf>
    <xf numFmtId="4" fontId="11" fillId="2" borderId="5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49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  <xf numFmtId="4" fontId="10" fillId="0" borderId="81" xfId="0" applyNumberFormat="1" applyFont="1" applyBorder="1" applyAlignment="1">
      <alignment horizontal="right" vertical="center"/>
    </xf>
    <xf numFmtId="0" fontId="10" fillId="0" borderId="78" xfId="0" applyFont="1" applyBorder="1" applyAlignment="1">
      <alignment horizontal="right" vertical="center"/>
    </xf>
    <xf numFmtId="0" fontId="10" fillId="0" borderId="79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81"/>
  <sheetViews>
    <sheetView tabSelected="1" topLeftCell="A25" workbookViewId="0">
      <selection activeCell="I8" sqref="I8:J9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" customWidth="1"/>
    <col min="6" max="6" width="12.88671875" customWidth="1"/>
    <col min="7" max="7" width="12" customWidth="1"/>
    <col min="8" max="10" width="15.6640625" customWidth="1"/>
    <col min="24" max="74" width="12.109375" hidden="1"/>
    <col min="75" max="75" width="78.5546875" hidden="1" customWidth="1"/>
    <col min="76" max="77" width="12.109375" hidden="1"/>
  </cols>
  <sheetData>
    <row r="1" spans="1:75" ht="54.75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AR1" s="1">
        <f>SUM(AI1:AI2)</f>
        <v>0</v>
      </c>
      <c r="AS1" s="1">
        <f>SUM(AJ1:AJ2)</f>
        <v>0</v>
      </c>
      <c r="AT1" s="1">
        <f>SUM(AK1:AK2)</f>
        <v>0</v>
      </c>
    </row>
    <row r="2" spans="1:75" ht="14.4" x14ac:dyDescent="0.3">
      <c r="A2" s="98" t="s">
        <v>1</v>
      </c>
      <c r="B2" s="93"/>
      <c r="C2" s="103" t="s">
        <v>2</v>
      </c>
      <c r="D2" s="104"/>
      <c r="E2" s="93" t="s">
        <v>3</v>
      </c>
      <c r="F2" s="93"/>
      <c r="G2" s="93" t="s">
        <v>4</v>
      </c>
      <c r="H2" s="102" t="s">
        <v>5</v>
      </c>
      <c r="I2" s="93" t="s">
        <v>6</v>
      </c>
      <c r="J2" s="93"/>
    </row>
    <row r="3" spans="1:75" ht="14.4" x14ac:dyDescent="0.3">
      <c r="A3" s="99"/>
      <c r="B3" s="82"/>
      <c r="C3" s="105"/>
      <c r="D3" s="105"/>
      <c r="E3" s="82"/>
      <c r="F3" s="82"/>
      <c r="G3" s="82"/>
      <c r="H3" s="82"/>
      <c r="I3" s="82"/>
      <c r="J3" s="82"/>
    </row>
    <row r="4" spans="1:75" ht="14.4" x14ac:dyDescent="0.3">
      <c r="A4" s="100" t="s">
        <v>7</v>
      </c>
      <c r="B4" s="82"/>
      <c r="C4" s="81" t="s">
        <v>4</v>
      </c>
      <c r="D4" s="82"/>
      <c r="E4" s="82" t="s">
        <v>8</v>
      </c>
      <c r="F4" s="82"/>
      <c r="G4" s="82" t="s">
        <v>4</v>
      </c>
      <c r="H4" s="81" t="s">
        <v>9</v>
      </c>
      <c r="I4" s="82" t="s">
        <v>6</v>
      </c>
      <c r="J4" s="82"/>
    </row>
    <row r="5" spans="1:75" ht="14.4" x14ac:dyDescent="0.3">
      <c r="A5" s="99"/>
      <c r="B5" s="82"/>
      <c r="C5" s="82"/>
      <c r="D5" s="82"/>
      <c r="E5" s="82"/>
      <c r="F5" s="82"/>
      <c r="G5" s="82"/>
      <c r="H5" s="82"/>
      <c r="I5" s="82"/>
      <c r="J5" s="82"/>
    </row>
    <row r="6" spans="1:75" ht="14.4" x14ac:dyDescent="0.3">
      <c r="A6" s="100" t="s">
        <v>10</v>
      </c>
      <c r="B6" s="82"/>
      <c r="C6" s="81" t="s">
        <v>4</v>
      </c>
      <c r="D6" s="82"/>
      <c r="E6" s="82" t="s">
        <v>11</v>
      </c>
      <c r="F6" s="82"/>
      <c r="G6" s="82" t="s">
        <v>4</v>
      </c>
      <c r="H6" s="81" t="s">
        <v>12</v>
      </c>
      <c r="I6" s="82" t="s">
        <v>6</v>
      </c>
      <c r="J6" s="82"/>
    </row>
    <row r="7" spans="1:75" ht="14.4" x14ac:dyDescent="0.3">
      <c r="A7" s="99"/>
      <c r="B7" s="82"/>
      <c r="C7" s="82"/>
      <c r="D7" s="82"/>
      <c r="E7" s="82"/>
      <c r="F7" s="82"/>
      <c r="G7" s="82"/>
      <c r="H7" s="82"/>
      <c r="I7" s="82"/>
      <c r="J7" s="82"/>
    </row>
    <row r="8" spans="1:75" ht="14.4" x14ac:dyDescent="0.3">
      <c r="A8" s="100" t="s">
        <v>13</v>
      </c>
      <c r="B8" s="82"/>
      <c r="C8" s="81" t="s">
        <v>4</v>
      </c>
      <c r="D8" s="82"/>
      <c r="E8" s="82" t="s">
        <v>14</v>
      </c>
      <c r="F8" s="82"/>
      <c r="G8" s="82" t="s">
        <v>15</v>
      </c>
      <c r="H8" s="81" t="s">
        <v>16</v>
      </c>
      <c r="I8" s="81" t="s">
        <v>17</v>
      </c>
      <c r="J8" s="82"/>
    </row>
    <row r="9" spans="1:75" ht="14.4" x14ac:dyDescent="0.3">
      <c r="A9" s="101"/>
      <c r="B9" s="94"/>
      <c r="C9" s="94"/>
      <c r="D9" s="94"/>
      <c r="E9" s="94"/>
      <c r="F9" s="94"/>
      <c r="G9" s="94"/>
      <c r="H9" s="94"/>
      <c r="I9" s="94"/>
      <c r="J9" s="94"/>
    </row>
    <row r="10" spans="1:75" ht="14.4" x14ac:dyDescent="0.3">
      <c r="A10" s="5" t="s">
        <v>18</v>
      </c>
      <c r="B10" s="6" t="s">
        <v>19</v>
      </c>
      <c r="C10" s="95" t="s">
        <v>20</v>
      </c>
      <c r="D10" s="96"/>
      <c r="E10" s="6" t="s">
        <v>21</v>
      </c>
      <c r="F10" s="7" t="s">
        <v>22</v>
      </c>
      <c r="G10" s="8" t="s">
        <v>23</v>
      </c>
      <c r="H10" s="88" t="s">
        <v>24</v>
      </c>
      <c r="I10" s="89"/>
      <c r="J10" s="90"/>
      <c r="BJ10" s="9" t="s">
        <v>25</v>
      </c>
      <c r="BK10" s="10" t="s">
        <v>26</v>
      </c>
      <c r="BV10" s="10" t="s">
        <v>27</v>
      </c>
    </row>
    <row r="11" spans="1:75" ht="14.4" x14ac:dyDescent="0.3">
      <c r="A11" s="11" t="s">
        <v>4</v>
      </c>
      <c r="B11" s="12" t="s">
        <v>4</v>
      </c>
      <c r="C11" s="86" t="s">
        <v>28</v>
      </c>
      <c r="D11" s="87"/>
      <c r="E11" s="12" t="s">
        <v>4</v>
      </c>
      <c r="F11" s="12" t="s">
        <v>4</v>
      </c>
      <c r="G11" s="13" t="s">
        <v>29</v>
      </c>
      <c r="H11" s="14" t="s">
        <v>30</v>
      </c>
      <c r="I11" s="15" t="s">
        <v>31</v>
      </c>
      <c r="J11" s="16" t="s">
        <v>32</v>
      </c>
      <c r="Y11" s="9" t="s">
        <v>33</v>
      </c>
      <c r="Z11" s="9" t="s">
        <v>34</v>
      </c>
      <c r="AA11" s="9" t="s">
        <v>35</v>
      </c>
      <c r="AB11" s="9" t="s">
        <v>36</v>
      </c>
      <c r="AC11" s="9" t="s">
        <v>37</v>
      </c>
      <c r="AD11" s="9" t="s">
        <v>38</v>
      </c>
      <c r="AE11" s="9" t="s">
        <v>39</v>
      </c>
      <c r="AF11" s="9" t="s">
        <v>40</v>
      </c>
      <c r="AG11" s="9" t="s">
        <v>41</v>
      </c>
      <c r="BG11" s="9" t="s">
        <v>42</v>
      </c>
      <c r="BH11" s="9" t="s">
        <v>43</v>
      </c>
      <c r="BI11" s="9" t="s">
        <v>44</v>
      </c>
    </row>
    <row r="12" spans="1:75" ht="14.4" x14ac:dyDescent="0.3">
      <c r="A12" s="17" t="s">
        <v>11</v>
      </c>
      <c r="B12" s="18" t="s">
        <v>45</v>
      </c>
      <c r="C12" s="91" t="s">
        <v>46</v>
      </c>
      <c r="D12" s="92"/>
      <c r="E12" s="19" t="s">
        <v>4</v>
      </c>
      <c r="F12" s="19" t="s">
        <v>4</v>
      </c>
      <c r="G12" s="19" t="s">
        <v>4</v>
      </c>
      <c r="H12" s="20">
        <f>SUM(H13:H45)</f>
        <v>0</v>
      </c>
      <c r="I12" s="20">
        <f>SUM(I13:I45)</f>
        <v>0</v>
      </c>
      <c r="J12" s="20">
        <f>SUM(J13:J45)</f>
        <v>0</v>
      </c>
      <c r="AH12" s="9" t="s">
        <v>11</v>
      </c>
      <c r="AR12" s="1">
        <f>SUM(AI13:AI45)</f>
        <v>0</v>
      </c>
      <c r="AS12" s="1">
        <f>SUM(AJ13:AJ45)</f>
        <v>0</v>
      </c>
      <c r="AT12" s="1">
        <f>SUM(AK13:AK45)</f>
        <v>0</v>
      </c>
    </row>
    <row r="13" spans="1:75" ht="14.4" x14ac:dyDescent="0.3">
      <c r="A13" s="2" t="s">
        <v>47</v>
      </c>
      <c r="B13" s="3" t="s">
        <v>48</v>
      </c>
      <c r="C13" s="81" t="s">
        <v>49</v>
      </c>
      <c r="D13" s="82"/>
      <c r="E13" s="3" t="s">
        <v>50</v>
      </c>
      <c r="F13" s="22">
        <v>5.8860000000000001</v>
      </c>
      <c r="G13" s="22">
        <v>0</v>
      </c>
      <c r="H13" s="22">
        <f>F13*AN13</f>
        <v>0</v>
      </c>
      <c r="I13" s="22">
        <f>F13*AO13</f>
        <v>0</v>
      </c>
      <c r="J13" s="22">
        <f>F13*G13</f>
        <v>0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11</v>
      </c>
      <c r="AI13" s="22">
        <f>IF(AM13=0,J13,0)</f>
        <v>0</v>
      </c>
      <c r="AJ13" s="22">
        <f>IF(AM13=12,J13,0)</f>
        <v>0</v>
      </c>
      <c r="AK13" s="22">
        <f>IF(AM13=21,J13,0)</f>
        <v>0</v>
      </c>
      <c r="AM13" s="22">
        <v>21</v>
      </c>
      <c r="AN13" s="22">
        <f>G13*0</f>
        <v>0</v>
      </c>
      <c r="AO13" s="22">
        <f>G13*(1-0)</f>
        <v>0</v>
      </c>
      <c r="AP13" s="24" t="s">
        <v>47</v>
      </c>
      <c r="AU13" s="22">
        <f>AV13+AW13</f>
        <v>0</v>
      </c>
      <c r="AV13" s="22">
        <f>F13*AN13</f>
        <v>0</v>
      </c>
      <c r="AW13" s="22">
        <f>F13*AO13</f>
        <v>0</v>
      </c>
      <c r="AX13" s="24" t="s">
        <v>51</v>
      </c>
      <c r="AY13" s="24" t="s">
        <v>52</v>
      </c>
      <c r="AZ13" s="9" t="s">
        <v>53</v>
      </c>
      <c r="BB13" s="22">
        <f>AV13+AW13</f>
        <v>0</v>
      </c>
      <c r="BC13" s="22">
        <f>G13/(100-BD13)*100</f>
        <v>0</v>
      </c>
      <c r="BD13" s="22">
        <v>0</v>
      </c>
      <c r="BE13" s="22">
        <f>13</f>
        <v>13</v>
      </c>
      <c r="BG13" s="22">
        <f>F13*AN13</f>
        <v>0</v>
      </c>
      <c r="BH13" s="22">
        <f>F13*AO13</f>
        <v>0</v>
      </c>
      <c r="BI13" s="22">
        <f>F13*G13</f>
        <v>0</v>
      </c>
      <c r="BJ13" s="22"/>
      <c r="BK13" s="22">
        <v>62</v>
      </c>
      <c r="BV13" s="22">
        <v>21</v>
      </c>
      <c r="BW13" s="4" t="s">
        <v>49</v>
      </c>
    </row>
    <row r="14" spans="1:75" ht="14.4" x14ac:dyDescent="0.3">
      <c r="A14" s="25"/>
      <c r="C14" s="26" t="s">
        <v>54</v>
      </c>
      <c r="D14" s="26" t="s">
        <v>55</v>
      </c>
      <c r="F14" s="27">
        <v>5.8860000000000001</v>
      </c>
    </row>
    <row r="15" spans="1:75" ht="14.4" x14ac:dyDescent="0.3">
      <c r="A15" s="2" t="s">
        <v>56</v>
      </c>
      <c r="B15" s="3" t="s">
        <v>57</v>
      </c>
      <c r="C15" s="81" t="s">
        <v>58</v>
      </c>
      <c r="D15" s="82"/>
      <c r="E15" s="3" t="s">
        <v>50</v>
      </c>
      <c r="F15" s="22">
        <v>5.8860000000000001</v>
      </c>
      <c r="G15" s="22">
        <v>0</v>
      </c>
      <c r="H15" s="22">
        <f>F15*AN15</f>
        <v>0</v>
      </c>
      <c r="I15" s="22">
        <f>F15*AO15</f>
        <v>0</v>
      </c>
      <c r="J15" s="22">
        <f>F15*G15</f>
        <v>0</v>
      </c>
      <c r="Y15" s="22">
        <f>IF(AP15="5",BI15,0)</f>
        <v>0</v>
      </c>
      <c r="AA15" s="22">
        <f>IF(AP15="1",BG15,0)</f>
        <v>0</v>
      </c>
      <c r="AB15" s="22">
        <f>IF(AP15="1",BH15,0)</f>
        <v>0</v>
      </c>
      <c r="AC15" s="22">
        <f>IF(AP15="7",BG15,0)</f>
        <v>0</v>
      </c>
      <c r="AD15" s="22">
        <f>IF(AP15="7",BH15,0)</f>
        <v>0</v>
      </c>
      <c r="AE15" s="22">
        <f>IF(AP15="2",BG15,0)</f>
        <v>0</v>
      </c>
      <c r="AF15" s="22">
        <f>IF(AP15="2",BH15,0)</f>
        <v>0</v>
      </c>
      <c r="AG15" s="22">
        <f>IF(AP15="0",BI15,0)</f>
        <v>0</v>
      </c>
      <c r="AH15" s="9" t="s">
        <v>11</v>
      </c>
      <c r="AI15" s="22">
        <f>IF(AM15=0,J15,0)</f>
        <v>0</v>
      </c>
      <c r="AJ15" s="22">
        <f>IF(AM15=12,J15,0)</f>
        <v>0</v>
      </c>
      <c r="AK15" s="22">
        <f>IF(AM15=21,J15,0)</f>
        <v>0</v>
      </c>
      <c r="AM15" s="22">
        <v>21</v>
      </c>
      <c r="AN15" s="22">
        <f>G15*0.135659994</f>
        <v>0</v>
      </c>
      <c r="AO15" s="22">
        <f>G15*(1-0.135659994)</f>
        <v>0</v>
      </c>
      <c r="AP15" s="24" t="s">
        <v>47</v>
      </c>
      <c r="AU15" s="22">
        <f>AV15+AW15</f>
        <v>0</v>
      </c>
      <c r="AV15" s="22">
        <f>F15*AN15</f>
        <v>0</v>
      </c>
      <c r="AW15" s="22">
        <f>F15*AO15</f>
        <v>0</v>
      </c>
      <c r="AX15" s="24" t="s">
        <v>51</v>
      </c>
      <c r="AY15" s="24" t="s">
        <v>52</v>
      </c>
      <c r="AZ15" s="9" t="s">
        <v>53</v>
      </c>
      <c r="BB15" s="22">
        <f>AV15+AW15</f>
        <v>0</v>
      </c>
      <c r="BC15" s="22">
        <f>G15/(100-BD15)*100</f>
        <v>0</v>
      </c>
      <c r="BD15" s="22">
        <v>0</v>
      </c>
      <c r="BE15" s="22">
        <f>15</f>
        <v>15</v>
      </c>
      <c r="BG15" s="22">
        <f>F15*AN15</f>
        <v>0</v>
      </c>
      <c r="BH15" s="22">
        <f>F15*AO15</f>
        <v>0</v>
      </c>
      <c r="BI15" s="22">
        <f>F15*G15</f>
        <v>0</v>
      </c>
      <c r="BJ15" s="22"/>
      <c r="BK15" s="22">
        <v>62</v>
      </c>
      <c r="BV15" s="22">
        <v>21</v>
      </c>
      <c r="BW15" s="4" t="s">
        <v>58</v>
      </c>
    </row>
    <row r="16" spans="1:75" ht="14.4" x14ac:dyDescent="0.3">
      <c r="A16" s="25"/>
      <c r="C16" s="26" t="s">
        <v>54</v>
      </c>
      <c r="D16" s="26" t="s">
        <v>55</v>
      </c>
      <c r="F16" s="27">
        <v>5.8860000000000001</v>
      </c>
    </row>
    <row r="17" spans="1:75" ht="14.4" x14ac:dyDescent="0.3">
      <c r="A17" s="2" t="s">
        <v>59</v>
      </c>
      <c r="B17" s="3" t="s">
        <v>60</v>
      </c>
      <c r="C17" s="81" t="s">
        <v>61</v>
      </c>
      <c r="D17" s="82"/>
      <c r="E17" s="3" t="s">
        <v>50</v>
      </c>
      <c r="F17" s="22">
        <v>5.8860000000000001</v>
      </c>
      <c r="G17" s="22">
        <v>0</v>
      </c>
      <c r="H17" s="22">
        <f>F17*AN17</f>
        <v>0</v>
      </c>
      <c r="I17" s="22">
        <f>F17*AO17</f>
        <v>0</v>
      </c>
      <c r="J17" s="22">
        <f>F17*G17</f>
        <v>0</v>
      </c>
      <c r="Y17" s="22">
        <f>IF(AP17="5",BI17,0)</f>
        <v>0</v>
      </c>
      <c r="AA17" s="22">
        <f>IF(AP17="1",BG17,0)</f>
        <v>0</v>
      </c>
      <c r="AB17" s="22">
        <f>IF(AP17="1",BH17,0)</f>
        <v>0</v>
      </c>
      <c r="AC17" s="22">
        <f>IF(AP17="7",BG17,0)</f>
        <v>0</v>
      </c>
      <c r="AD17" s="22">
        <f>IF(AP17="7",BH17,0)</f>
        <v>0</v>
      </c>
      <c r="AE17" s="22">
        <f>IF(AP17="2",BG17,0)</f>
        <v>0</v>
      </c>
      <c r="AF17" s="22">
        <f>IF(AP17="2",BH17,0)</f>
        <v>0</v>
      </c>
      <c r="AG17" s="22">
        <f>IF(AP17="0",BI17,0)</f>
        <v>0</v>
      </c>
      <c r="AH17" s="9" t="s">
        <v>11</v>
      </c>
      <c r="AI17" s="22">
        <f>IF(AM17=0,J17,0)</f>
        <v>0</v>
      </c>
      <c r="AJ17" s="22">
        <f>IF(AM17=12,J17,0)</f>
        <v>0</v>
      </c>
      <c r="AK17" s="22">
        <f>IF(AM17=21,J17,0)</f>
        <v>0</v>
      </c>
      <c r="AM17" s="22">
        <v>21</v>
      </c>
      <c r="AN17" s="22">
        <f>G17*0.686759966</f>
        <v>0</v>
      </c>
      <c r="AO17" s="22">
        <f>G17*(1-0.686759966)</f>
        <v>0</v>
      </c>
      <c r="AP17" s="24" t="s">
        <v>47</v>
      </c>
      <c r="AU17" s="22">
        <f>AV17+AW17</f>
        <v>0</v>
      </c>
      <c r="AV17" s="22">
        <f>F17*AN17</f>
        <v>0</v>
      </c>
      <c r="AW17" s="22">
        <f>F17*AO17</f>
        <v>0</v>
      </c>
      <c r="AX17" s="24" t="s">
        <v>51</v>
      </c>
      <c r="AY17" s="24" t="s">
        <v>52</v>
      </c>
      <c r="AZ17" s="9" t="s">
        <v>53</v>
      </c>
      <c r="BB17" s="22">
        <f>AV17+AW17</f>
        <v>0</v>
      </c>
      <c r="BC17" s="22">
        <f>G17/(100-BD17)*100</f>
        <v>0</v>
      </c>
      <c r="BD17" s="22">
        <v>0</v>
      </c>
      <c r="BE17" s="22">
        <f>17</f>
        <v>17</v>
      </c>
      <c r="BG17" s="22">
        <f>F17*AN17</f>
        <v>0</v>
      </c>
      <c r="BH17" s="22">
        <f>F17*AO17</f>
        <v>0</v>
      </c>
      <c r="BI17" s="22">
        <f>F17*G17</f>
        <v>0</v>
      </c>
      <c r="BJ17" s="22"/>
      <c r="BK17" s="22">
        <v>62</v>
      </c>
      <c r="BV17" s="22">
        <v>21</v>
      </c>
      <c r="BW17" s="4" t="s">
        <v>61</v>
      </c>
    </row>
    <row r="18" spans="1:75" ht="14.4" x14ac:dyDescent="0.3">
      <c r="A18" s="25"/>
      <c r="C18" s="26" t="s">
        <v>54</v>
      </c>
      <c r="D18" s="26" t="s">
        <v>55</v>
      </c>
      <c r="F18" s="27">
        <v>5.8860000000000001</v>
      </c>
    </row>
    <row r="19" spans="1:75" ht="26.4" x14ac:dyDescent="0.3">
      <c r="A19" s="2" t="s">
        <v>62</v>
      </c>
      <c r="B19" s="3" t="s">
        <v>63</v>
      </c>
      <c r="C19" s="81" t="s">
        <v>64</v>
      </c>
      <c r="D19" s="82"/>
      <c r="E19" s="3" t="s">
        <v>50</v>
      </c>
      <c r="F19" s="22">
        <v>5.8860000000000001</v>
      </c>
      <c r="G19" s="22">
        <v>0</v>
      </c>
      <c r="H19" s="22">
        <f>F19*AN19</f>
        <v>0</v>
      </c>
      <c r="I19" s="22">
        <f>F19*AO19</f>
        <v>0</v>
      </c>
      <c r="J19" s="22">
        <f>F19*G19</f>
        <v>0</v>
      </c>
      <c r="Y19" s="22">
        <f>IF(AP19="5",BI19,0)</f>
        <v>0</v>
      </c>
      <c r="AA19" s="22">
        <f>IF(AP19="1",BG19,0)</f>
        <v>0</v>
      </c>
      <c r="AB19" s="22">
        <f>IF(AP19="1",BH19,0)</f>
        <v>0</v>
      </c>
      <c r="AC19" s="22">
        <f>IF(AP19="7",BG19,0)</f>
        <v>0</v>
      </c>
      <c r="AD19" s="22">
        <f>IF(AP19="7",BH19,0)</f>
        <v>0</v>
      </c>
      <c r="AE19" s="22">
        <f>IF(AP19="2",BG19,0)</f>
        <v>0</v>
      </c>
      <c r="AF19" s="22">
        <f>IF(AP19="2",BH19,0)</f>
        <v>0</v>
      </c>
      <c r="AG19" s="22">
        <f>IF(AP19="0",BI19,0)</f>
        <v>0</v>
      </c>
      <c r="AH19" s="9" t="s">
        <v>11</v>
      </c>
      <c r="AI19" s="22">
        <f>IF(AM19=0,J19,0)</f>
        <v>0</v>
      </c>
      <c r="AJ19" s="22">
        <f>IF(AM19=12,J19,0)</f>
        <v>0</v>
      </c>
      <c r="AK19" s="22">
        <f>IF(AM19=21,J19,0)</f>
        <v>0</v>
      </c>
      <c r="AM19" s="22">
        <v>21</v>
      </c>
      <c r="AN19" s="22">
        <f>G19*0.662216308</f>
        <v>0</v>
      </c>
      <c r="AO19" s="22">
        <f>G19*(1-0.662216308)</f>
        <v>0</v>
      </c>
      <c r="AP19" s="24" t="s">
        <v>47</v>
      </c>
      <c r="AU19" s="22">
        <f>AV19+AW19</f>
        <v>0</v>
      </c>
      <c r="AV19" s="22">
        <f>F19*AN19</f>
        <v>0</v>
      </c>
      <c r="AW19" s="22">
        <f>F19*AO19</f>
        <v>0</v>
      </c>
      <c r="AX19" s="24" t="s">
        <v>51</v>
      </c>
      <c r="AY19" s="24" t="s">
        <v>52</v>
      </c>
      <c r="AZ19" s="9" t="s">
        <v>53</v>
      </c>
      <c r="BB19" s="22">
        <f>AV19+AW19</f>
        <v>0</v>
      </c>
      <c r="BC19" s="22">
        <f>G19/(100-BD19)*100</f>
        <v>0</v>
      </c>
      <c r="BD19" s="22">
        <v>0</v>
      </c>
      <c r="BE19" s="22">
        <f>19</f>
        <v>19</v>
      </c>
      <c r="BG19" s="22">
        <f>F19*AN19</f>
        <v>0</v>
      </c>
      <c r="BH19" s="22">
        <f>F19*AO19</f>
        <v>0</v>
      </c>
      <c r="BI19" s="22">
        <f>F19*G19</f>
        <v>0</v>
      </c>
      <c r="BJ19" s="22"/>
      <c r="BK19" s="22">
        <v>62</v>
      </c>
      <c r="BV19" s="22">
        <v>21</v>
      </c>
      <c r="BW19" s="4" t="s">
        <v>64</v>
      </c>
    </row>
    <row r="20" spans="1:75" ht="14.4" x14ac:dyDescent="0.3">
      <c r="A20" s="25"/>
      <c r="C20" s="26" t="s">
        <v>54</v>
      </c>
      <c r="D20" s="26" t="s">
        <v>55</v>
      </c>
      <c r="F20" s="27">
        <v>5.8860000000000001</v>
      </c>
    </row>
    <row r="21" spans="1:75" ht="14.4" x14ac:dyDescent="0.3">
      <c r="A21" s="2" t="s">
        <v>65</v>
      </c>
      <c r="B21" s="3" t="s">
        <v>66</v>
      </c>
      <c r="C21" s="81" t="s">
        <v>67</v>
      </c>
      <c r="D21" s="82"/>
      <c r="E21" s="3" t="s">
        <v>50</v>
      </c>
      <c r="F21" s="22">
        <v>33.585999999999999</v>
      </c>
      <c r="G21" s="22">
        <v>0</v>
      </c>
      <c r="H21" s="22">
        <f>F21*AN21</f>
        <v>0</v>
      </c>
      <c r="I21" s="22">
        <f>F21*AO21</f>
        <v>0</v>
      </c>
      <c r="J21" s="22">
        <f>F21*G21</f>
        <v>0</v>
      </c>
      <c r="Y21" s="22">
        <f>IF(AP21="5",BI21,0)</f>
        <v>0</v>
      </c>
      <c r="AA21" s="22">
        <f>IF(AP21="1",BG21,0)</f>
        <v>0</v>
      </c>
      <c r="AB21" s="22">
        <f>IF(AP21="1",BH21,0)</f>
        <v>0</v>
      </c>
      <c r="AC21" s="22">
        <f>IF(AP21="7",BG21,0)</f>
        <v>0</v>
      </c>
      <c r="AD21" s="22">
        <f>IF(AP21="7",BH21,0)</f>
        <v>0</v>
      </c>
      <c r="AE21" s="22">
        <f>IF(AP21="2",BG21,0)</f>
        <v>0</v>
      </c>
      <c r="AF21" s="22">
        <f>IF(AP21="2",BH21,0)</f>
        <v>0</v>
      </c>
      <c r="AG21" s="22">
        <f>IF(AP21="0",BI21,0)</f>
        <v>0</v>
      </c>
      <c r="AH21" s="9" t="s">
        <v>11</v>
      </c>
      <c r="AI21" s="22">
        <f>IF(AM21=0,J21,0)</f>
        <v>0</v>
      </c>
      <c r="AJ21" s="22">
        <f>IF(AM21=12,J21,0)</f>
        <v>0</v>
      </c>
      <c r="AK21" s="22">
        <f>IF(AM21=21,J21,0)</f>
        <v>0</v>
      </c>
      <c r="AM21" s="22">
        <v>21</v>
      </c>
      <c r="AN21" s="22">
        <f>G21*0.086094735</f>
        <v>0</v>
      </c>
      <c r="AO21" s="22">
        <f>G21*(1-0.086094735)</f>
        <v>0</v>
      </c>
      <c r="AP21" s="24" t="s">
        <v>47</v>
      </c>
      <c r="AU21" s="22">
        <f>AV21+AW21</f>
        <v>0</v>
      </c>
      <c r="AV21" s="22">
        <f>F21*AN21</f>
        <v>0</v>
      </c>
      <c r="AW21" s="22">
        <f>F21*AO21</f>
        <v>0</v>
      </c>
      <c r="AX21" s="24" t="s">
        <v>51</v>
      </c>
      <c r="AY21" s="24" t="s">
        <v>52</v>
      </c>
      <c r="AZ21" s="9" t="s">
        <v>53</v>
      </c>
      <c r="BB21" s="22">
        <f>AV21+AW21</f>
        <v>0</v>
      </c>
      <c r="BC21" s="22">
        <f>G21/(100-BD21)*100</f>
        <v>0</v>
      </c>
      <c r="BD21" s="22">
        <v>0</v>
      </c>
      <c r="BE21" s="22">
        <f>21</f>
        <v>21</v>
      </c>
      <c r="BG21" s="22">
        <f>F21*AN21</f>
        <v>0</v>
      </c>
      <c r="BH21" s="22">
        <f>F21*AO21</f>
        <v>0</v>
      </c>
      <c r="BI21" s="22">
        <f>F21*G21</f>
        <v>0</v>
      </c>
      <c r="BJ21" s="22"/>
      <c r="BK21" s="22">
        <v>62</v>
      </c>
      <c r="BV21" s="22">
        <v>21</v>
      </c>
      <c r="BW21" s="4" t="s">
        <v>67</v>
      </c>
    </row>
    <row r="22" spans="1:75" ht="14.4" x14ac:dyDescent="0.3">
      <c r="A22" s="25"/>
      <c r="C22" s="26" t="s">
        <v>68</v>
      </c>
      <c r="D22" s="26" t="s">
        <v>69</v>
      </c>
      <c r="F22" s="27">
        <v>12.282</v>
      </c>
    </row>
    <row r="23" spans="1:75" ht="14.4" x14ac:dyDescent="0.3">
      <c r="A23" s="25"/>
      <c r="C23" s="26" t="s">
        <v>70</v>
      </c>
      <c r="D23" s="26" t="s">
        <v>69</v>
      </c>
      <c r="F23" s="27">
        <v>12.88</v>
      </c>
    </row>
    <row r="24" spans="1:75" ht="14.4" x14ac:dyDescent="0.3">
      <c r="A24" s="25"/>
      <c r="C24" s="26" t="s">
        <v>71</v>
      </c>
      <c r="D24" s="26" t="s">
        <v>72</v>
      </c>
      <c r="F24" s="27">
        <v>3.5840000000000001</v>
      </c>
    </row>
    <row r="25" spans="1:75" ht="14.4" x14ac:dyDescent="0.3">
      <c r="A25" s="25"/>
      <c r="C25" s="26" t="s">
        <v>73</v>
      </c>
      <c r="D25" s="26" t="s">
        <v>74</v>
      </c>
      <c r="F25" s="27">
        <v>4.84</v>
      </c>
    </row>
    <row r="26" spans="1:75" ht="26.4" x14ac:dyDescent="0.3">
      <c r="A26" s="2" t="s">
        <v>75</v>
      </c>
      <c r="B26" s="3" t="s">
        <v>76</v>
      </c>
      <c r="C26" s="81" t="s">
        <v>77</v>
      </c>
      <c r="D26" s="82"/>
      <c r="E26" s="3" t="s">
        <v>50</v>
      </c>
      <c r="F26" s="22">
        <v>33.585999999999999</v>
      </c>
      <c r="G26" s="22">
        <v>0</v>
      </c>
      <c r="H26" s="22">
        <f>F26*AN26</f>
        <v>0</v>
      </c>
      <c r="I26" s="22">
        <f>F26*AO26</f>
        <v>0</v>
      </c>
      <c r="J26" s="22">
        <f>F26*G26</f>
        <v>0</v>
      </c>
      <c r="Y26" s="22">
        <f>IF(AP26="5",BI26,0)</f>
        <v>0</v>
      </c>
      <c r="AA26" s="22">
        <f>IF(AP26="1",BG26,0)</f>
        <v>0</v>
      </c>
      <c r="AB26" s="22">
        <f>IF(AP26="1",BH26,0)</f>
        <v>0</v>
      </c>
      <c r="AC26" s="22">
        <f>IF(AP26="7",BG26,0)</f>
        <v>0</v>
      </c>
      <c r="AD26" s="22">
        <f>IF(AP26="7",BH26,0)</f>
        <v>0</v>
      </c>
      <c r="AE26" s="22">
        <f>IF(AP26="2",BG26,0)</f>
        <v>0</v>
      </c>
      <c r="AF26" s="22">
        <f>IF(AP26="2",BH26,0)</f>
        <v>0</v>
      </c>
      <c r="AG26" s="22">
        <f>IF(AP26="0",BI26,0)</f>
        <v>0</v>
      </c>
      <c r="AH26" s="9" t="s">
        <v>11</v>
      </c>
      <c r="AI26" s="22">
        <f>IF(AM26=0,J26,0)</f>
        <v>0</v>
      </c>
      <c r="AJ26" s="22">
        <f>IF(AM26=12,J26,0)</f>
        <v>0</v>
      </c>
      <c r="AK26" s="22">
        <f>IF(AM26=21,J26,0)</f>
        <v>0</v>
      </c>
      <c r="AM26" s="22">
        <v>21</v>
      </c>
      <c r="AN26" s="22">
        <f>G26*0.084554427</f>
        <v>0</v>
      </c>
      <c r="AO26" s="22">
        <f>G26*(1-0.084554427)</f>
        <v>0</v>
      </c>
      <c r="AP26" s="24" t="s">
        <v>47</v>
      </c>
      <c r="AU26" s="22">
        <f>AV26+AW26</f>
        <v>0</v>
      </c>
      <c r="AV26" s="22">
        <f>F26*AN26</f>
        <v>0</v>
      </c>
      <c r="AW26" s="22">
        <f>F26*AO26</f>
        <v>0</v>
      </c>
      <c r="AX26" s="24" t="s">
        <v>51</v>
      </c>
      <c r="AY26" s="24" t="s">
        <v>52</v>
      </c>
      <c r="AZ26" s="9" t="s">
        <v>53</v>
      </c>
      <c r="BB26" s="22">
        <f>AV26+AW26</f>
        <v>0</v>
      </c>
      <c r="BC26" s="22">
        <f>G26/(100-BD26)*100</f>
        <v>0</v>
      </c>
      <c r="BD26" s="22">
        <v>0</v>
      </c>
      <c r="BE26" s="22">
        <f>26</f>
        <v>26</v>
      </c>
      <c r="BG26" s="22">
        <f>F26*AN26</f>
        <v>0</v>
      </c>
      <c r="BH26" s="22">
        <f>F26*AO26</f>
        <v>0</v>
      </c>
      <c r="BI26" s="22">
        <f>F26*G26</f>
        <v>0</v>
      </c>
      <c r="BJ26" s="22"/>
      <c r="BK26" s="22">
        <v>62</v>
      </c>
      <c r="BV26" s="22">
        <v>21</v>
      </c>
      <c r="BW26" s="4" t="s">
        <v>77</v>
      </c>
    </row>
    <row r="27" spans="1:75" ht="14.4" x14ac:dyDescent="0.3">
      <c r="A27" s="25"/>
      <c r="C27" s="26" t="s">
        <v>68</v>
      </c>
      <c r="D27" s="26" t="s">
        <v>69</v>
      </c>
      <c r="F27" s="27">
        <v>12.282</v>
      </c>
    </row>
    <row r="28" spans="1:75" ht="14.4" x14ac:dyDescent="0.3">
      <c r="A28" s="25"/>
      <c r="C28" s="26" t="s">
        <v>70</v>
      </c>
      <c r="D28" s="26" t="s">
        <v>69</v>
      </c>
      <c r="F28" s="27">
        <v>12.88</v>
      </c>
    </row>
    <row r="29" spans="1:75" ht="14.4" x14ac:dyDescent="0.3">
      <c r="A29" s="25"/>
      <c r="C29" s="26" t="s">
        <v>71</v>
      </c>
      <c r="D29" s="26" t="s">
        <v>72</v>
      </c>
      <c r="F29" s="27">
        <v>3.5840000000000001</v>
      </c>
    </row>
    <row r="30" spans="1:75" ht="14.4" x14ac:dyDescent="0.3">
      <c r="A30" s="25"/>
      <c r="C30" s="26" t="s">
        <v>73</v>
      </c>
      <c r="D30" s="26" t="s">
        <v>74</v>
      </c>
      <c r="F30" s="27">
        <v>4.84</v>
      </c>
    </row>
    <row r="31" spans="1:75" ht="14.4" x14ac:dyDescent="0.3">
      <c r="A31" s="2" t="s">
        <v>78</v>
      </c>
      <c r="B31" s="3" t="s">
        <v>79</v>
      </c>
      <c r="C31" s="81" t="s">
        <v>80</v>
      </c>
      <c r="D31" s="82"/>
      <c r="E31" s="3" t="s">
        <v>50</v>
      </c>
      <c r="F31" s="22">
        <v>39.472000000000001</v>
      </c>
      <c r="G31" s="22">
        <v>0</v>
      </c>
      <c r="H31" s="22">
        <f>F31*AN31</f>
        <v>0</v>
      </c>
      <c r="I31" s="22">
        <f>F31*AO31</f>
        <v>0</v>
      </c>
      <c r="J31" s="22">
        <f>F31*G31</f>
        <v>0</v>
      </c>
      <c r="Y31" s="22">
        <f>IF(AP31="5",BI31,0)</f>
        <v>0</v>
      </c>
      <c r="AA31" s="22">
        <f>IF(AP31="1",BG31,0)</f>
        <v>0</v>
      </c>
      <c r="AB31" s="22">
        <f>IF(AP31="1",BH31,0)</f>
        <v>0</v>
      </c>
      <c r="AC31" s="22">
        <f>IF(AP31="7",BG31,0)</f>
        <v>0</v>
      </c>
      <c r="AD31" s="22">
        <f>IF(AP31="7",BH31,0)</f>
        <v>0</v>
      </c>
      <c r="AE31" s="22">
        <f>IF(AP31="2",BG31,0)</f>
        <v>0</v>
      </c>
      <c r="AF31" s="22">
        <f>IF(AP31="2",BH31,0)</f>
        <v>0</v>
      </c>
      <c r="AG31" s="22">
        <f>IF(AP31="0",BI31,0)</f>
        <v>0</v>
      </c>
      <c r="AH31" s="9" t="s">
        <v>11</v>
      </c>
      <c r="AI31" s="22">
        <f>IF(AM31=0,J31,0)</f>
        <v>0</v>
      </c>
      <c r="AJ31" s="22">
        <f>IF(AM31=12,J31,0)</f>
        <v>0</v>
      </c>
      <c r="AK31" s="22">
        <f>IF(AM31=21,J31,0)</f>
        <v>0</v>
      </c>
      <c r="AM31" s="22">
        <v>21</v>
      </c>
      <c r="AN31" s="22">
        <f>G31*0.583677273</f>
        <v>0</v>
      </c>
      <c r="AO31" s="22">
        <f>G31*(1-0.583677273)</f>
        <v>0</v>
      </c>
      <c r="AP31" s="24" t="s">
        <v>47</v>
      </c>
      <c r="AU31" s="22">
        <f>AV31+AW31</f>
        <v>0</v>
      </c>
      <c r="AV31" s="22">
        <f>F31*AN31</f>
        <v>0</v>
      </c>
      <c r="AW31" s="22">
        <f>F31*AO31</f>
        <v>0</v>
      </c>
      <c r="AX31" s="24" t="s">
        <v>51</v>
      </c>
      <c r="AY31" s="24" t="s">
        <v>52</v>
      </c>
      <c r="AZ31" s="9" t="s">
        <v>53</v>
      </c>
      <c r="BB31" s="22">
        <f>AV31+AW31</f>
        <v>0</v>
      </c>
      <c r="BC31" s="22">
        <f>G31/(100-BD31)*100</f>
        <v>0</v>
      </c>
      <c r="BD31" s="22">
        <v>0</v>
      </c>
      <c r="BE31" s="22">
        <f>31</f>
        <v>31</v>
      </c>
      <c r="BG31" s="22">
        <f>F31*AN31</f>
        <v>0</v>
      </c>
      <c r="BH31" s="22">
        <f>F31*AO31</f>
        <v>0</v>
      </c>
      <c r="BI31" s="22">
        <f>F31*G31</f>
        <v>0</v>
      </c>
      <c r="BJ31" s="22"/>
      <c r="BK31" s="22">
        <v>62</v>
      </c>
      <c r="BV31" s="22">
        <v>21</v>
      </c>
      <c r="BW31" s="4" t="s">
        <v>80</v>
      </c>
    </row>
    <row r="32" spans="1:75" ht="14.4" x14ac:dyDescent="0.3">
      <c r="A32" s="25"/>
      <c r="C32" s="26" t="s">
        <v>54</v>
      </c>
      <c r="D32" s="26" t="s">
        <v>55</v>
      </c>
      <c r="F32" s="27">
        <v>5.8860000000000001</v>
      </c>
    </row>
    <row r="33" spans="1:75" ht="14.4" x14ac:dyDescent="0.3">
      <c r="A33" s="25"/>
      <c r="C33" s="26" t="s">
        <v>68</v>
      </c>
      <c r="D33" s="26" t="s">
        <v>69</v>
      </c>
      <c r="F33" s="27">
        <v>12.282</v>
      </c>
    </row>
    <row r="34" spans="1:75" ht="14.4" x14ac:dyDescent="0.3">
      <c r="A34" s="25"/>
      <c r="C34" s="26" t="s">
        <v>70</v>
      </c>
      <c r="D34" s="26" t="s">
        <v>69</v>
      </c>
      <c r="F34" s="27">
        <v>12.88</v>
      </c>
    </row>
    <row r="35" spans="1:75" ht="14.4" x14ac:dyDescent="0.3">
      <c r="A35" s="25"/>
      <c r="C35" s="26" t="s">
        <v>71</v>
      </c>
      <c r="D35" s="26" t="s">
        <v>72</v>
      </c>
      <c r="F35" s="27">
        <v>3.5840000000000001</v>
      </c>
    </row>
    <row r="36" spans="1:75" ht="14.4" x14ac:dyDescent="0.3">
      <c r="A36" s="25"/>
      <c r="C36" s="26" t="s">
        <v>73</v>
      </c>
      <c r="D36" s="26" t="s">
        <v>74</v>
      </c>
      <c r="F36" s="27">
        <v>4.84</v>
      </c>
    </row>
    <row r="37" spans="1:75" ht="14.4" x14ac:dyDescent="0.3">
      <c r="A37" s="2" t="s">
        <v>81</v>
      </c>
      <c r="B37" s="3" t="s">
        <v>82</v>
      </c>
      <c r="C37" s="81" t="s">
        <v>83</v>
      </c>
      <c r="D37" s="82"/>
      <c r="E37" s="3" t="s">
        <v>50</v>
      </c>
      <c r="F37" s="22">
        <v>39.472000000000001</v>
      </c>
      <c r="G37" s="22">
        <v>0</v>
      </c>
      <c r="H37" s="22">
        <f>F37*AN37</f>
        <v>0</v>
      </c>
      <c r="I37" s="22">
        <f>F37*AO37</f>
        <v>0</v>
      </c>
      <c r="J37" s="22">
        <f>F37*G37</f>
        <v>0</v>
      </c>
      <c r="Y37" s="22">
        <f>IF(AP37="5",BI37,0)</f>
        <v>0</v>
      </c>
      <c r="AA37" s="22">
        <f>IF(AP37="1",BG37,0)</f>
        <v>0</v>
      </c>
      <c r="AB37" s="22">
        <f>IF(AP37="1",BH37,0)</f>
        <v>0</v>
      </c>
      <c r="AC37" s="22">
        <f>IF(AP37="7",BG37,0)</f>
        <v>0</v>
      </c>
      <c r="AD37" s="22">
        <f>IF(AP37="7",BH37,0)</f>
        <v>0</v>
      </c>
      <c r="AE37" s="22">
        <f>IF(AP37="2",BG37,0)</f>
        <v>0</v>
      </c>
      <c r="AF37" s="22">
        <f>IF(AP37="2",BH37,0)</f>
        <v>0</v>
      </c>
      <c r="AG37" s="22">
        <f>IF(AP37="0",BI37,0)</f>
        <v>0</v>
      </c>
      <c r="AH37" s="9" t="s">
        <v>11</v>
      </c>
      <c r="AI37" s="22">
        <f>IF(AM37=0,J37,0)</f>
        <v>0</v>
      </c>
      <c r="AJ37" s="22">
        <f>IF(AM37=12,J37,0)</f>
        <v>0</v>
      </c>
      <c r="AK37" s="22">
        <f>IF(AM37=21,J37,0)</f>
        <v>0</v>
      </c>
      <c r="AM37" s="22">
        <v>21</v>
      </c>
      <c r="AN37" s="22">
        <f>G37*0.579652286</f>
        <v>0</v>
      </c>
      <c r="AO37" s="22">
        <f>G37*(1-0.579652286)</f>
        <v>0</v>
      </c>
      <c r="AP37" s="24" t="s">
        <v>47</v>
      </c>
      <c r="AU37" s="22">
        <f>AV37+AW37</f>
        <v>0</v>
      </c>
      <c r="AV37" s="22">
        <f>F37*AN37</f>
        <v>0</v>
      </c>
      <c r="AW37" s="22">
        <f>F37*AO37</f>
        <v>0</v>
      </c>
      <c r="AX37" s="24" t="s">
        <v>51</v>
      </c>
      <c r="AY37" s="24" t="s">
        <v>52</v>
      </c>
      <c r="AZ37" s="9" t="s">
        <v>53</v>
      </c>
      <c r="BB37" s="22">
        <f>AV37+AW37</f>
        <v>0</v>
      </c>
      <c r="BC37" s="22">
        <f>G37/(100-BD37)*100</f>
        <v>0</v>
      </c>
      <c r="BD37" s="22">
        <v>0</v>
      </c>
      <c r="BE37" s="22">
        <f>37</f>
        <v>37</v>
      </c>
      <c r="BG37" s="22">
        <f>F37*AN37</f>
        <v>0</v>
      </c>
      <c r="BH37" s="22">
        <f>F37*AO37</f>
        <v>0</v>
      </c>
      <c r="BI37" s="22">
        <f>F37*G37</f>
        <v>0</v>
      </c>
      <c r="BJ37" s="22"/>
      <c r="BK37" s="22">
        <v>62</v>
      </c>
      <c r="BV37" s="22">
        <v>21</v>
      </c>
      <c r="BW37" s="4" t="s">
        <v>83</v>
      </c>
    </row>
    <row r="38" spans="1:75" ht="14.4" x14ac:dyDescent="0.3">
      <c r="A38" s="25"/>
      <c r="C38" s="26" t="s">
        <v>54</v>
      </c>
      <c r="D38" s="26" t="s">
        <v>55</v>
      </c>
      <c r="F38" s="27">
        <v>5.8860000000000001</v>
      </c>
    </row>
    <row r="39" spans="1:75" ht="14.4" x14ac:dyDescent="0.3">
      <c r="A39" s="25"/>
      <c r="C39" s="26" t="s">
        <v>68</v>
      </c>
      <c r="D39" s="26" t="s">
        <v>69</v>
      </c>
      <c r="F39" s="27">
        <v>12.282</v>
      </c>
    </row>
    <row r="40" spans="1:75" ht="14.4" x14ac:dyDescent="0.3">
      <c r="A40" s="25"/>
      <c r="C40" s="26" t="s">
        <v>70</v>
      </c>
      <c r="D40" s="26" t="s">
        <v>69</v>
      </c>
      <c r="F40" s="27">
        <v>12.88</v>
      </c>
    </row>
    <row r="41" spans="1:75" ht="14.4" x14ac:dyDescent="0.3">
      <c r="A41" s="25"/>
      <c r="C41" s="26" t="s">
        <v>71</v>
      </c>
      <c r="D41" s="26" t="s">
        <v>72</v>
      </c>
      <c r="F41" s="27">
        <v>3.5840000000000001</v>
      </c>
    </row>
    <row r="42" spans="1:75" ht="14.4" x14ac:dyDescent="0.3">
      <c r="A42" s="25"/>
      <c r="C42" s="26" t="s">
        <v>73</v>
      </c>
      <c r="D42" s="26" t="s">
        <v>74</v>
      </c>
      <c r="F42" s="27">
        <v>4.84</v>
      </c>
    </row>
    <row r="43" spans="1:75" ht="14.4" x14ac:dyDescent="0.3">
      <c r="A43" s="2" t="s">
        <v>84</v>
      </c>
      <c r="B43" s="3" t="s">
        <v>85</v>
      </c>
      <c r="C43" s="81" t="s">
        <v>86</v>
      </c>
      <c r="D43" s="82"/>
      <c r="E43" s="3" t="s">
        <v>50</v>
      </c>
      <c r="F43" s="22">
        <v>1.92</v>
      </c>
      <c r="G43" s="22">
        <v>0</v>
      </c>
      <c r="H43" s="22">
        <f>F43*AN43</f>
        <v>0</v>
      </c>
      <c r="I43" s="22">
        <f>F43*AO43</f>
        <v>0</v>
      </c>
      <c r="J43" s="22">
        <f>F43*G43</f>
        <v>0</v>
      </c>
      <c r="Y43" s="22">
        <f>IF(AP43="5",BI43,0)</f>
        <v>0</v>
      </c>
      <c r="AA43" s="22">
        <f>IF(AP43="1",BG43,0)</f>
        <v>0</v>
      </c>
      <c r="AB43" s="22">
        <f>IF(AP43="1",BH43,0)</f>
        <v>0</v>
      </c>
      <c r="AC43" s="22">
        <f>IF(AP43="7",BG43,0)</f>
        <v>0</v>
      </c>
      <c r="AD43" s="22">
        <f>IF(AP43="7",BH43,0)</f>
        <v>0</v>
      </c>
      <c r="AE43" s="22">
        <f>IF(AP43="2",BG43,0)</f>
        <v>0</v>
      </c>
      <c r="AF43" s="22">
        <f>IF(AP43="2",BH43,0)</f>
        <v>0</v>
      </c>
      <c r="AG43" s="22">
        <f>IF(AP43="0",BI43,0)</f>
        <v>0</v>
      </c>
      <c r="AH43" s="9" t="s">
        <v>11</v>
      </c>
      <c r="AI43" s="22">
        <f>IF(AM43=0,J43,0)</f>
        <v>0</v>
      </c>
      <c r="AJ43" s="22">
        <f>IF(AM43=12,J43,0)</f>
        <v>0</v>
      </c>
      <c r="AK43" s="22">
        <f>IF(AM43=21,J43,0)</f>
        <v>0</v>
      </c>
      <c r="AM43" s="22">
        <v>21</v>
      </c>
      <c r="AN43" s="22">
        <f>G43*0.334921111</f>
        <v>0</v>
      </c>
      <c r="AO43" s="22">
        <f>G43*(1-0.334921111)</f>
        <v>0</v>
      </c>
      <c r="AP43" s="24" t="s">
        <v>47</v>
      </c>
      <c r="AU43" s="22">
        <f>AV43+AW43</f>
        <v>0</v>
      </c>
      <c r="AV43" s="22">
        <f>F43*AN43</f>
        <v>0</v>
      </c>
      <c r="AW43" s="22">
        <f>F43*AO43</f>
        <v>0</v>
      </c>
      <c r="AX43" s="24" t="s">
        <v>51</v>
      </c>
      <c r="AY43" s="24" t="s">
        <v>52</v>
      </c>
      <c r="AZ43" s="9" t="s">
        <v>53</v>
      </c>
      <c r="BB43" s="22">
        <f>AV43+AW43</f>
        <v>0</v>
      </c>
      <c r="BC43" s="22">
        <f>G43/(100-BD43)*100</f>
        <v>0</v>
      </c>
      <c r="BD43" s="22">
        <v>0</v>
      </c>
      <c r="BE43" s="22">
        <f>43</f>
        <v>43</v>
      </c>
      <c r="BG43" s="22">
        <f>F43*AN43</f>
        <v>0</v>
      </c>
      <c r="BH43" s="22">
        <f>F43*AO43</f>
        <v>0</v>
      </c>
      <c r="BI43" s="22">
        <f>F43*G43</f>
        <v>0</v>
      </c>
      <c r="BJ43" s="22"/>
      <c r="BK43" s="22">
        <v>62</v>
      </c>
      <c r="BV43" s="22">
        <v>21</v>
      </c>
      <c r="BW43" s="4" t="s">
        <v>86</v>
      </c>
    </row>
    <row r="44" spans="1:75" ht="14.4" x14ac:dyDescent="0.3">
      <c r="A44" s="25"/>
      <c r="C44" s="26" t="s">
        <v>87</v>
      </c>
      <c r="D44" s="26" t="s">
        <v>88</v>
      </c>
      <c r="F44" s="27">
        <v>1.92</v>
      </c>
    </row>
    <row r="45" spans="1:75" ht="14.4" x14ac:dyDescent="0.3">
      <c r="A45" s="2" t="s">
        <v>89</v>
      </c>
      <c r="B45" s="3" t="s">
        <v>90</v>
      </c>
      <c r="C45" s="81" t="s">
        <v>91</v>
      </c>
      <c r="D45" s="82"/>
      <c r="E45" s="3" t="s">
        <v>92</v>
      </c>
      <c r="F45" s="22">
        <v>2.3068399999999998</v>
      </c>
      <c r="G45" s="22">
        <v>0</v>
      </c>
      <c r="H45" s="22">
        <f>F45*AN45</f>
        <v>0</v>
      </c>
      <c r="I45" s="22">
        <f>F45*AO45</f>
        <v>0</v>
      </c>
      <c r="J45" s="22">
        <f>F45*G45</f>
        <v>0</v>
      </c>
      <c r="Y45" s="22">
        <f>IF(AP45="5",BI45,0)</f>
        <v>0</v>
      </c>
      <c r="AA45" s="22">
        <f>IF(AP45="1",BG45,0)</f>
        <v>0</v>
      </c>
      <c r="AB45" s="22">
        <f>IF(AP45="1",BH45,0)</f>
        <v>0</v>
      </c>
      <c r="AC45" s="22">
        <f>IF(AP45="7",BG45,0)</f>
        <v>0</v>
      </c>
      <c r="AD45" s="22">
        <f>IF(AP45="7",BH45,0)</f>
        <v>0</v>
      </c>
      <c r="AE45" s="22">
        <f>IF(AP45="2",BG45,0)</f>
        <v>0</v>
      </c>
      <c r="AF45" s="22">
        <f>IF(AP45="2",BH45,0)</f>
        <v>0</v>
      </c>
      <c r="AG45" s="22">
        <f>IF(AP45="0",BI45,0)</f>
        <v>0</v>
      </c>
      <c r="AH45" s="9" t="s">
        <v>11</v>
      </c>
      <c r="AI45" s="22">
        <f>IF(AM45=0,J45,0)</f>
        <v>0</v>
      </c>
      <c r="AJ45" s="22">
        <f>IF(AM45=12,J45,0)</f>
        <v>0</v>
      </c>
      <c r="AK45" s="22">
        <f>IF(AM45=21,J45,0)</f>
        <v>0</v>
      </c>
      <c r="AM45" s="22">
        <v>21</v>
      </c>
      <c r="AN45" s="22">
        <f>G45*0</f>
        <v>0</v>
      </c>
      <c r="AO45" s="22">
        <f>G45*(1-0)</f>
        <v>0</v>
      </c>
      <c r="AP45" s="24" t="s">
        <v>65</v>
      </c>
      <c r="AU45" s="22">
        <f>AV45+AW45</f>
        <v>0</v>
      </c>
      <c r="AV45" s="22">
        <f>F45*AN45</f>
        <v>0</v>
      </c>
      <c r="AW45" s="22">
        <f>F45*AO45</f>
        <v>0</v>
      </c>
      <c r="AX45" s="24" t="s">
        <v>51</v>
      </c>
      <c r="AY45" s="24" t="s">
        <v>52</v>
      </c>
      <c r="AZ45" s="9" t="s">
        <v>53</v>
      </c>
      <c r="BB45" s="22">
        <f>AV45+AW45</f>
        <v>0</v>
      </c>
      <c r="BC45" s="22">
        <f>G45/(100-BD45)*100</f>
        <v>0</v>
      </c>
      <c r="BD45" s="22">
        <v>0</v>
      </c>
      <c r="BE45" s="22">
        <f>45</f>
        <v>45</v>
      </c>
      <c r="BG45" s="22">
        <f>F45*AN45</f>
        <v>0</v>
      </c>
      <c r="BH45" s="22">
        <f>F45*AO45</f>
        <v>0</v>
      </c>
      <c r="BI45" s="22">
        <f>F45*G45</f>
        <v>0</v>
      </c>
      <c r="BJ45" s="22"/>
      <c r="BK45" s="22">
        <v>62</v>
      </c>
      <c r="BV45" s="22">
        <v>21</v>
      </c>
      <c r="BW45" s="4" t="s">
        <v>91</v>
      </c>
    </row>
    <row r="46" spans="1:75" ht="14.4" x14ac:dyDescent="0.3">
      <c r="A46" s="28" t="s">
        <v>11</v>
      </c>
      <c r="B46" s="29" t="s">
        <v>93</v>
      </c>
      <c r="C46" s="83" t="s">
        <v>94</v>
      </c>
      <c r="D46" s="84"/>
      <c r="E46" s="30" t="s">
        <v>4</v>
      </c>
      <c r="F46" s="30" t="s">
        <v>4</v>
      </c>
      <c r="G46" s="30" t="s">
        <v>4</v>
      </c>
      <c r="H46" s="1">
        <f>SUM(H47:H55)</f>
        <v>0</v>
      </c>
      <c r="I46" s="1">
        <f>SUM(I47:I55)</f>
        <v>0</v>
      </c>
      <c r="J46" s="1">
        <f>SUM(J47:J55)</f>
        <v>0</v>
      </c>
      <c r="AH46" s="9" t="s">
        <v>11</v>
      </c>
      <c r="AR46" s="1">
        <f>SUM(AI47:AI55)</f>
        <v>0</v>
      </c>
      <c r="AS46" s="1">
        <f>SUM(AJ47:AJ55)</f>
        <v>0</v>
      </c>
      <c r="AT46" s="1">
        <f>SUM(AK47:AK55)</f>
        <v>0</v>
      </c>
    </row>
    <row r="47" spans="1:75" ht="14.4" x14ac:dyDescent="0.3">
      <c r="A47" s="2" t="s">
        <v>95</v>
      </c>
      <c r="B47" s="3" t="s">
        <v>96</v>
      </c>
      <c r="C47" s="81" t="s">
        <v>97</v>
      </c>
      <c r="D47" s="82"/>
      <c r="E47" s="3" t="s">
        <v>50</v>
      </c>
      <c r="F47" s="22">
        <v>11.747999999999999</v>
      </c>
      <c r="G47" s="22">
        <v>0</v>
      </c>
      <c r="H47" s="22">
        <f>F47*AN47</f>
        <v>0</v>
      </c>
      <c r="I47" s="22">
        <f>F47*AO47</f>
        <v>0</v>
      </c>
      <c r="J47" s="22">
        <f>F47*G47</f>
        <v>0</v>
      </c>
      <c r="Y47" s="22">
        <f>IF(AP47="5",BI47,0)</f>
        <v>0</v>
      </c>
      <c r="AA47" s="22">
        <f>IF(AP47="1",BG47,0)</f>
        <v>0</v>
      </c>
      <c r="AB47" s="22">
        <f>IF(AP47="1",BH47,0)</f>
        <v>0</v>
      </c>
      <c r="AC47" s="22">
        <f>IF(AP47="7",BG47,0)</f>
        <v>0</v>
      </c>
      <c r="AD47" s="22">
        <f>IF(AP47="7",BH47,0)</f>
        <v>0</v>
      </c>
      <c r="AE47" s="22">
        <f>IF(AP47="2",BG47,0)</f>
        <v>0</v>
      </c>
      <c r="AF47" s="22">
        <f>IF(AP47="2",BH47,0)</f>
        <v>0</v>
      </c>
      <c r="AG47" s="22">
        <f>IF(AP47="0",BI47,0)</f>
        <v>0</v>
      </c>
      <c r="AH47" s="9" t="s">
        <v>11</v>
      </c>
      <c r="AI47" s="22">
        <f>IF(AM47=0,J47,0)</f>
        <v>0</v>
      </c>
      <c r="AJ47" s="22">
        <f>IF(AM47=12,J47,0)</f>
        <v>0</v>
      </c>
      <c r="AK47" s="22">
        <f>IF(AM47=21,J47,0)</f>
        <v>0</v>
      </c>
      <c r="AM47" s="22">
        <v>21</v>
      </c>
      <c r="AN47" s="22">
        <f>G47*0</f>
        <v>0</v>
      </c>
      <c r="AO47" s="22">
        <f>G47*(1-0)</f>
        <v>0</v>
      </c>
      <c r="AP47" s="24" t="s">
        <v>78</v>
      </c>
      <c r="AU47" s="22">
        <f>AV47+AW47</f>
        <v>0</v>
      </c>
      <c r="AV47" s="22">
        <f>F47*AN47</f>
        <v>0</v>
      </c>
      <c r="AW47" s="22">
        <f>F47*AO47</f>
        <v>0</v>
      </c>
      <c r="AX47" s="24" t="s">
        <v>98</v>
      </c>
      <c r="AY47" s="24" t="s">
        <v>99</v>
      </c>
      <c r="AZ47" s="9" t="s">
        <v>53</v>
      </c>
      <c r="BB47" s="22">
        <f>AV47+AW47</f>
        <v>0</v>
      </c>
      <c r="BC47" s="22">
        <f>G47/(100-BD47)*100</f>
        <v>0</v>
      </c>
      <c r="BD47" s="22">
        <v>0</v>
      </c>
      <c r="BE47" s="22">
        <f>47</f>
        <v>47</v>
      </c>
      <c r="BG47" s="22">
        <f>F47*AN47</f>
        <v>0</v>
      </c>
      <c r="BH47" s="22">
        <f>F47*AO47</f>
        <v>0</v>
      </c>
      <c r="BI47" s="22">
        <f>F47*G47</f>
        <v>0</v>
      </c>
      <c r="BJ47" s="22"/>
      <c r="BK47" s="22">
        <v>762</v>
      </c>
      <c r="BV47" s="22">
        <v>21</v>
      </c>
      <c r="BW47" s="4" t="s">
        <v>97</v>
      </c>
    </row>
    <row r="48" spans="1:75" ht="14.4" x14ac:dyDescent="0.3">
      <c r="A48" s="25"/>
      <c r="C48" s="26" t="s">
        <v>100</v>
      </c>
      <c r="D48" s="26" t="s">
        <v>101</v>
      </c>
      <c r="F48" s="27">
        <v>11.747999999999999</v>
      </c>
    </row>
    <row r="49" spans="1:75" ht="14.4" x14ac:dyDescent="0.3">
      <c r="A49" s="2" t="s">
        <v>102</v>
      </c>
      <c r="B49" s="3" t="s">
        <v>103</v>
      </c>
      <c r="C49" s="81" t="s">
        <v>104</v>
      </c>
      <c r="D49" s="82"/>
      <c r="E49" s="3" t="s">
        <v>50</v>
      </c>
      <c r="F49" s="22">
        <v>11.747999999999999</v>
      </c>
      <c r="G49" s="22">
        <v>0</v>
      </c>
      <c r="H49" s="22">
        <f>F49*AN49</f>
        <v>0</v>
      </c>
      <c r="I49" s="22">
        <f>F49*AO49</f>
        <v>0</v>
      </c>
      <c r="J49" s="22">
        <f>F49*G49</f>
        <v>0</v>
      </c>
      <c r="Y49" s="22">
        <f>IF(AP49="5",BI49,0)</f>
        <v>0</v>
      </c>
      <c r="AA49" s="22">
        <f>IF(AP49="1",BG49,0)</f>
        <v>0</v>
      </c>
      <c r="AB49" s="22">
        <f>IF(AP49="1",BH49,0)</f>
        <v>0</v>
      </c>
      <c r="AC49" s="22">
        <f>IF(AP49="7",BG49,0)</f>
        <v>0</v>
      </c>
      <c r="AD49" s="22">
        <f>IF(AP49="7",BH49,0)</f>
        <v>0</v>
      </c>
      <c r="AE49" s="22">
        <f>IF(AP49="2",BG49,0)</f>
        <v>0</v>
      </c>
      <c r="AF49" s="22">
        <f>IF(AP49="2",BH49,0)</f>
        <v>0</v>
      </c>
      <c r="AG49" s="22">
        <f>IF(AP49="0",BI49,0)</f>
        <v>0</v>
      </c>
      <c r="AH49" s="9" t="s">
        <v>11</v>
      </c>
      <c r="AI49" s="22">
        <f>IF(AM49=0,J49,0)</f>
        <v>0</v>
      </c>
      <c r="AJ49" s="22">
        <f>IF(AM49=12,J49,0)</f>
        <v>0</v>
      </c>
      <c r="AK49" s="22">
        <f>IF(AM49=21,J49,0)</f>
        <v>0</v>
      </c>
      <c r="AM49" s="22">
        <v>21</v>
      </c>
      <c r="AN49" s="22">
        <f>G49*0</f>
        <v>0</v>
      </c>
      <c r="AO49" s="22">
        <f>G49*(1-0)</f>
        <v>0</v>
      </c>
      <c r="AP49" s="24" t="s">
        <v>78</v>
      </c>
      <c r="AU49" s="22">
        <f>AV49+AW49</f>
        <v>0</v>
      </c>
      <c r="AV49" s="22">
        <f>F49*AN49</f>
        <v>0</v>
      </c>
      <c r="AW49" s="22">
        <f>F49*AO49</f>
        <v>0</v>
      </c>
      <c r="AX49" s="24" t="s">
        <v>98</v>
      </c>
      <c r="AY49" s="24" t="s">
        <v>99</v>
      </c>
      <c r="AZ49" s="9" t="s">
        <v>53</v>
      </c>
      <c r="BB49" s="22">
        <f>AV49+AW49</f>
        <v>0</v>
      </c>
      <c r="BC49" s="22">
        <f>G49/(100-BD49)*100</f>
        <v>0</v>
      </c>
      <c r="BD49" s="22">
        <v>0</v>
      </c>
      <c r="BE49" s="22">
        <f>49</f>
        <v>49</v>
      </c>
      <c r="BG49" s="22">
        <f>F49*AN49</f>
        <v>0</v>
      </c>
      <c r="BH49" s="22">
        <f>F49*AO49</f>
        <v>0</v>
      </c>
      <c r="BI49" s="22">
        <f>F49*G49</f>
        <v>0</v>
      </c>
      <c r="BJ49" s="22"/>
      <c r="BK49" s="22">
        <v>762</v>
      </c>
      <c r="BV49" s="22">
        <v>21</v>
      </c>
      <c r="BW49" s="4" t="s">
        <v>104</v>
      </c>
    </row>
    <row r="50" spans="1:75" ht="14.4" x14ac:dyDescent="0.3">
      <c r="A50" s="25"/>
      <c r="C50" s="26" t="s">
        <v>100</v>
      </c>
      <c r="D50" s="26" t="s">
        <v>101</v>
      </c>
      <c r="F50" s="27">
        <v>11.747999999999999</v>
      </c>
    </row>
    <row r="51" spans="1:75" ht="14.4" x14ac:dyDescent="0.3">
      <c r="A51" s="2" t="s">
        <v>105</v>
      </c>
      <c r="B51" s="3" t="s">
        <v>106</v>
      </c>
      <c r="C51" s="81" t="s">
        <v>107</v>
      </c>
      <c r="D51" s="82"/>
      <c r="E51" s="3" t="s">
        <v>50</v>
      </c>
      <c r="F51" s="22">
        <v>11.747999999999999</v>
      </c>
      <c r="G51" s="22">
        <v>0</v>
      </c>
      <c r="H51" s="22">
        <f>F51*AN51</f>
        <v>0</v>
      </c>
      <c r="I51" s="22">
        <f>F51*AO51</f>
        <v>0</v>
      </c>
      <c r="J51" s="22">
        <f>F51*G51</f>
        <v>0</v>
      </c>
      <c r="Y51" s="22">
        <f>IF(AP51="5",BI51,0)</f>
        <v>0</v>
      </c>
      <c r="AA51" s="22">
        <f>IF(AP51="1",BG51,0)</f>
        <v>0</v>
      </c>
      <c r="AB51" s="22">
        <f>IF(AP51="1",BH51,0)</f>
        <v>0</v>
      </c>
      <c r="AC51" s="22">
        <f>IF(AP51="7",BG51,0)</f>
        <v>0</v>
      </c>
      <c r="AD51" s="22">
        <f>IF(AP51="7",BH51,0)</f>
        <v>0</v>
      </c>
      <c r="AE51" s="22">
        <f>IF(AP51="2",BG51,0)</f>
        <v>0</v>
      </c>
      <c r="AF51" s="22">
        <f>IF(AP51="2",BH51,0)</f>
        <v>0</v>
      </c>
      <c r="AG51" s="22">
        <f>IF(AP51="0",BI51,0)</f>
        <v>0</v>
      </c>
      <c r="AH51" s="9" t="s">
        <v>11</v>
      </c>
      <c r="AI51" s="22">
        <f>IF(AM51=0,J51,0)</f>
        <v>0</v>
      </c>
      <c r="AJ51" s="22">
        <f>IF(AM51=12,J51,0)</f>
        <v>0</v>
      </c>
      <c r="AK51" s="22">
        <f>IF(AM51=21,J51,0)</f>
        <v>0</v>
      </c>
      <c r="AM51" s="22">
        <v>21</v>
      </c>
      <c r="AN51" s="22">
        <f>G51*0</f>
        <v>0</v>
      </c>
      <c r="AO51" s="22">
        <f>G51*(1-0)</f>
        <v>0</v>
      </c>
      <c r="AP51" s="24" t="s">
        <v>78</v>
      </c>
      <c r="AU51" s="22">
        <f>AV51+AW51</f>
        <v>0</v>
      </c>
      <c r="AV51" s="22">
        <f>F51*AN51</f>
        <v>0</v>
      </c>
      <c r="AW51" s="22">
        <f>F51*AO51</f>
        <v>0</v>
      </c>
      <c r="AX51" s="24" t="s">
        <v>98</v>
      </c>
      <c r="AY51" s="24" t="s">
        <v>99</v>
      </c>
      <c r="AZ51" s="9" t="s">
        <v>53</v>
      </c>
      <c r="BB51" s="22">
        <f>AV51+AW51</f>
        <v>0</v>
      </c>
      <c r="BC51" s="22">
        <f>G51/(100-BD51)*100</f>
        <v>0</v>
      </c>
      <c r="BD51" s="22">
        <v>0</v>
      </c>
      <c r="BE51" s="22">
        <f>51</f>
        <v>51</v>
      </c>
      <c r="BG51" s="22">
        <f>F51*AN51</f>
        <v>0</v>
      </c>
      <c r="BH51" s="22">
        <f>F51*AO51</f>
        <v>0</v>
      </c>
      <c r="BI51" s="22">
        <f>F51*G51</f>
        <v>0</v>
      </c>
      <c r="BJ51" s="22"/>
      <c r="BK51" s="22">
        <v>762</v>
      </c>
      <c r="BV51" s="22">
        <v>21</v>
      </c>
      <c r="BW51" s="4" t="s">
        <v>107</v>
      </c>
    </row>
    <row r="52" spans="1:75" ht="14.4" x14ac:dyDescent="0.3">
      <c r="A52" s="25"/>
      <c r="C52" s="26" t="s">
        <v>100</v>
      </c>
      <c r="D52" s="26" t="s">
        <v>101</v>
      </c>
      <c r="F52" s="27">
        <v>11.747999999999999</v>
      </c>
    </row>
    <row r="53" spans="1:75" ht="14.4" x14ac:dyDescent="0.3">
      <c r="A53" s="2" t="s">
        <v>108</v>
      </c>
      <c r="B53" s="3" t="s">
        <v>109</v>
      </c>
      <c r="C53" s="81" t="s">
        <v>110</v>
      </c>
      <c r="D53" s="82"/>
      <c r="E53" s="3" t="s">
        <v>50</v>
      </c>
      <c r="F53" s="22">
        <v>11.747999999999999</v>
      </c>
      <c r="G53" s="22">
        <v>0</v>
      </c>
      <c r="H53" s="22">
        <f>F53*AN53</f>
        <v>0</v>
      </c>
      <c r="I53" s="22">
        <f>F53*AO53</f>
        <v>0</v>
      </c>
      <c r="J53" s="22">
        <f>F53*G53</f>
        <v>0</v>
      </c>
      <c r="Y53" s="22">
        <f>IF(AP53="5",BI53,0)</f>
        <v>0</v>
      </c>
      <c r="AA53" s="22">
        <f>IF(AP53="1",BG53,0)</f>
        <v>0</v>
      </c>
      <c r="AB53" s="22">
        <f>IF(AP53="1",BH53,0)</f>
        <v>0</v>
      </c>
      <c r="AC53" s="22">
        <f>IF(AP53="7",BG53,0)</f>
        <v>0</v>
      </c>
      <c r="AD53" s="22">
        <f>IF(AP53="7",BH53,0)</f>
        <v>0</v>
      </c>
      <c r="AE53" s="22">
        <f>IF(AP53="2",BG53,0)</f>
        <v>0</v>
      </c>
      <c r="AF53" s="22">
        <f>IF(AP53="2",BH53,0)</f>
        <v>0</v>
      </c>
      <c r="AG53" s="22">
        <f>IF(AP53="0",BI53,0)</f>
        <v>0</v>
      </c>
      <c r="AH53" s="9" t="s">
        <v>11</v>
      </c>
      <c r="AI53" s="22">
        <f>IF(AM53=0,J53,0)</f>
        <v>0</v>
      </c>
      <c r="AJ53" s="22">
        <f>IF(AM53=12,J53,0)</f>
        <v>0</v>
      </c>
      <c r="AK53" s="22">
        <f>IF(AM53=21,J53,0)</f>
        <v>0</v>
      </c>
      <c r="AM53" s="22">
        <v>21</v>
      </c>
      <c r="AN53" s="22">
        <f>G53*0.387263129</f>
        <v>0</v>
      </c>
      <c r="AO53" s="22">
        <f>G53*(1-0.387263129)</f>
        <v>0</v>
      </c>
      <c r="AP53" s="24" t="s">
        <v>78</v>
      </c>
      <c r="AU53" s="22">
        <f>AV53+AW53</f>
        <v>0</v>
      </c>
      <c r="AV53" s="22">
        <f>F53*AN53</f>
        <v>0</v>
      </c>
      <c r="AW53" s="22">
        <f>F53*AO53</f>
        <v>0</v>
      </c>
      <c r="AX53" s="24" t="s">
        <v>98</v>
      </c>
      <c r="AY53" s="24" t="s">
        <v>99</v>
      </c>
      <c r="AZ53" s="9" t="s">
        <v>53</v>
      </c>
      <c r="BB53" s="22">
        <f>AV53+AW53</f>
        <v>0</v>
      </c>
      <c r="BC53" s="22">
        <f>G53/(100-BD53)*100</f>
        <v>0</v>
      </c>
      <c r="BD53" s="22">
        <v>0</v>
      </c>
      <c r="BE53" s="22">
        <f>53</f>
        <v>53</v>
      </c>
      <c r="BG53" s="22">
        <f>F53*AN53</f>
        <v>0</v>
      </c>
      <c r="BH53" s="22">
        <f>F53*AO53</f>
        <v>0</v>
      </c>
      <c r="BI53" s="22">
        <f>F53*G53</f>
        <v>0</v>
      </c>
      <c r="BJ53" s="22"/>
      <c r="BK53" s="22">
        <v>762</v>
      </c>
      <c r="BV53" s="22">
        <v>21</v>
      </c>
      <c r="BW53" s="4" t="s">
        <v>110</v>
      </c>
    </row>
    <row r="54" spans="1:75" ht="14.4" x14ac:dyDescent="0.3">
      <c r="A54" s="25"/>
      <c r="C54" s="26" t="s">
        <v>100</v>
      </c>
      <c r="D54" s="26" t="s">
        <v>11</v>
      </c>
      <c r="F54" s="27">
        <v>11.747999999999999</v>
      </c>
    </row>
    <row r="55" spans="1:75" ht="14.4" x14ac:dyDescent="0.3">
      <c r="A55" s="2" t="s">
        <v>111</v>
      </c>
      <c r="B55" s="3" t="s">
        <v>112</v>
      </c>
      <c r="C55" s="81" t="s">
        <v>113</v>
      </c>
      <c r="D55" s="82"/>
      <c r="E55" s="3" t="s">
        <v>92</v>
      </c>
      <c r="F55" s="22">
        <v>0.93949000000000005</v>
      </c>
      <c r="G55" s="22">
        <v>0</v>
      </c>
      <c r="H55" s="22">
        <f>F55*AN55</f>
        <v>0</v>
      </c>
      <c r="I55" s="22">
        <f>F55*AO55</f>
        <v>0</v>
      </c>
      <c r="J55" s="22">
        <f>F55*G55</f>
        <v>0</v>
      </c>
      <c r="Y55" s="22">
        <f>IF(AP55="5",BI55,0)</f>
        <v>0</v>
      </c>
      <c r="AA55" s="22">
        <f>IF(AP55="1",BG55,0)</f>
        <v>0</v>
      </c>
      <c r="AB55" s="22">
        <f>IF(AP55="1",BH55,0)</f>
        <v>0</v>
      </c>
      <c r="AC55" s="22">
        <f>IF(AP55="7",BG55,0)</f>
        <v>0</v>
      </c>
      <c r="AD55" s="22">
        <f>IF(AP55="7",BH55,0)</f>
        <v>0</v>
      </c>
      <c r="AE55" s="22">
        <f>IF(AP55="2",BG55,0)</f>
        <v>0</v>
      </c>
      <c r="AF55" s="22">
        <f>IF(AP55="2",BH55,0)</f>
        <v>0</v>
      </c>
      <c r="AG55" s="22">
        <f>IF(AP55="0",BI55,0)</f>
        <v>0</v>
      </c>
      <c r="AH55" s="9" t="s">
        <v>11</v>
      </c>
      <c r="AI55" s="22">
        <f>IF(AM55=0,J55,0)</f>
        <v>0</v>
      </c>
      <c r="AJ55" s="22">
        <f>IF(AM55=12,J55,0)</f>
        <v>0</v>
      </c>
      <c r="AK55" s="22">
        <f>IF(AM55=21,J55,0)</f>
        <v>0</v>
      </c>
      <c r="AM55" s="22">
        <v>21</v>
      </c>
      <c r="AN55" s="22">
        <f>G55*0</f>
        <v>0</v>
      </c>
      <c r="AO55" s="22">
        <f>G55*(1-0)</f>
        <v>0</v>
      </c>
      <c r="AP55" s="24" t="s">
        <v>65</v>
      </c>
      <c r="AU55" s="22">
        <f>AV55+AW55</f>
        <v>0</v>
      </c>
      <c r="AV55" s="22">
        <f>F55*AN55</f>
        <v>0</v>
      </c>
      <c r="AW55" s="22">
        <f>F55*AO55</f>
        <v>0</v>
      </c>
      <c r="AX55" s="24" t="s">
        <v>98</v>
      </c>
      <c r="AY55" s="24" t="s">
        <v>99</v>
      </c>
      <c r="AZ55" s="9" t="s">
        <v>53</v>
      </c>
      <c r="BB55" s="22">
        <f>AV55+AW55</f>
        <v>0</v>
      </c>
      <c r="BC55" s="22">
        <f>G55/(100-BD55)*100</f>
        <v>0</v>
      </c>
      <c r="BD55" s="22">
        <v>0</v>
      </c>
      <c r="BE55" s="22">
        <f>55</f>
        <v>55</v>
      </c>
      <c r="BG55" s="22">
        <f>F55*AN55</f>
        <v>0</v>
      </c>
      <c r="BH55" s="22">
        <f>F55*AO55</f>
        <v>0</v>
      </c>
      <c r="BI55" s="22">
        <f>F55*G55</f>
        <v>0</v>
      </c>
      <c r="BJ55" s="22"/>
      <c r="BK55" s="22">
        <v>762</v>
      </c>
      <c r="BV55" s="22">
        <v>21</v>
      </c>
      <c r="BW55" s="4" t="s">
        <v>113</v>
      </c>
    </row>
    <row r="56" spans="1:75" ht="14.4" x14ac:dyDescent="0.3">
      <c r="A56" s="28" t="s">
        <v>11</v>
      </c>
      <c r="B56" s="29" t="s">
        <v>114</v>
      </c>
      <c r="C56" s="83" t="s">
        <v>115</v>
      </c>
      <c r="D56" s="84"/>
      <c r="E56" s="30" t="s">
        <v>4</v>
      </c>
      <c r="F56" s="30" t="s">
        <v>4</v>
      </c>
      <c r="G56" s="30" t="s">
        <v>4</v>
      </c>
      <c r="H56" s="1">
        <f>SUM(H57:H65)</f>
        <v>0</v>
      </c>
      <c r="I56" s="1">
        <f>SUM(I57:I65)</f>
        <v>0</v>
      </c>
      <c r="J56" s="1">
        <f>SUM(J57:J65)</f>
        <v>0</v>
      </c>
      <c r="AH56" s="9" t="s">
        <v>11</v>
      </c>
      <c r="AR56" s="1">
        <f>SUM(AI57:AI65)</f>
        <v>0</v>
      </c>
      <c r="AS56" s="1">
        <f>SUM(AJ57:AJ65)</f>
        <v>0</v>
      </c>
      <c r="AT56" s="1">
        <f>SUM(AK57:AK65)</f>
        <v>0</v>
      </c>
    </row>
    <row r="57" spans="1:75" ht="26.4" x14ac:dyDescent="0.3">
      <c r="A57" s="2" t="s">
        <v>116</v>
      </c>
      <c r="B57" s="3" t="s">
        <v>117</v>
      </c>
      <c r="C57" s="81" t="s">
        <v>118</v>
      </c>
      <c r="D57" s="82"/>
      <c r="E57" s="3" t="s">
        <v>50</v>
      </c>
      <c r="F57" s="22">
        <v>10.4</v>
      </c>
      <c r="G57" s="22">
        <v>0</v>
      </c>
      <c r="H57" s="22">
        <f>F57*AN57</f>
        <v>0</v>
      </c>
      <c r="I57" s="22">
        <f>F57*AO57</f>
        <v>0</v>
      </c>
      <c r="J57" s="22">
        <f>F57*G57</f>
        <v>0</v>
      </c>
      <c r="Y57" s="22">
        <f>IF(AP57="5",BI57,0)</f>
        <v>0</v>
      </c>
      <c r="AA57" s="22">
        <f>IF(AP57="1",BG57,0)</f>
        <v>0</v>
      </c>
      <c r="AB57" s="22">
        <f>IF(AP57="1",BH57,0)</f>
        <v>0</v>
      </c>
      <c r="AC57" s="22">
        <f>IF(AP57="7",BG57,0)</f>
        <v>0</v>
      </c>
      <c r="AD57" s="22">
        <f>IF(AP57="7",BH57,0)</f>
        <v>0</v>
      </c>
      <c r="AE57" s="22">
        <f>IF(AP57="2",BG57,0)</f>
        <v>0</v>
      </c>
      <c r="AF57" s="22">
        <f>IF(AP57="2",BH57,0)</f>
        <v>0</v>
      </c>
      <c r="AG57" s="22">
        <f>IF(AP57="0",BI57,0)</f>
        <v>0</v>
      </c>
      <c r="AH57" s="9" t="s">
        <v>11</v>
      </c>
      <c r="AI57" s="22">
        <f>IF(AM57=0,J57,0)</f>
        <v>0</v>
      </c>
      <c r="AJ57" s="22">
        <f>IF(AM57=12,J57,0)</f>
        <v>0</v>
      </c>
      <c r="AK57" s="22">
        <f>IF(AM57=21,J57,0)</f>
        <v>0</v>
      </c>
      <c r="AM57" s="22">
        <v>21</v>
      </c>
      <c r="AN57" s="22">
        <f>G57*0.11436019</f>
        <v>0</v>
      </c>
      <c r="AO57" s="22">
        <f>G57*(1-0.11436019)</f>
        <v>0</v>
      </c>
      <c r="AP57" s="24" t="s">
        <v>78</v>
      </c>
      <c r="AU57" s="22">
        <f>AV57+AW57</f>
        <v>0</v>
      </c>
      <c r="AV57" s="22">
        <f>F57*AN57</f>
        <v>0</v>
      </c>
      <c r="AW57" s="22">
        <f>F57*AO57</f>
        <v>0</v>
      </c>
      <c r="AX57" s="24" t="s">
        <v>119</v>
      </c>
      <c r="AY57" s="24" t="s">
        <v>99</v>
      </c>
      <c r="AZ57" s="9" t="s">
        <v>53</v>
      </c>
      <c r="BB57" s="22">
        <f>AV57+AW57</f>
        <v>0</v>
      </c>
      <c r="BC57" s="22">
        <f>G57/(100-BD57)*100</f>
        <v>0</v>
      </c>
      <c r="BD57" s="22">
        <v>0</v>
      </c>
      <c r="BE57" s="22">
        <f>57</f>
        <v>57</v>
      </c>
      <c r="BG57" s="22">
        <f>F57*AN57</f>
        <v>0</v>
      </c>
      <c r="BH57" s="22">
        <f>F57*AO57</f>
        <v>0</v>
      </c>
      <c r="BI57" s="22">
        <f>F57*G57</f>
        <v>0</v>
      </c>
      <c r="BJ57" s="22"/>
      <c r="BK57" s="22">
        <v>764</v>
      </c>
      <c r="BV57" s="22">
        <v>21</v>
      </c>
      <c r="BW57" s="4" t="s">
        <v>118</v>
      </c>
    </row>
    <row r="58" spans="1:75" ht="14.4" x14ac:dyDescent="0.3">
      <c r="A58" s="25"/>
      <c r="C58" s="26" t="s">
        <v>120</v>
      </c>
      <c r="D58" s="26" t="s">
        <v>121</v>
      </c>
      <c r="F58" s="27">
        <v>6</v>
      </c>
    </row>
    <row r="59" spans="1:75" ht="14.4" x14ac:dyDescent="0.3">
      <c r="A59" s="25"/>
      <c r="C59" s="26" t="s">
        <v>122</v>
      </c>
      <c r="D59" s="26" t="s">
        <v>123</v>
      </c>
      <c r="F59" s="27">
        <v>4.4000000000000004</v>
      </c>
    </row>
    <row r="60" spans="1:75" ht="26.4" x14ac:dyDescent="0.3">
      <c r="A60" s="2" t="s">
        <v>124</v>
      </c>
      <c r="B60" s="3" t="s">
        <v>125</v>
      </c>
      <c r="C60" s="81" t="s">
        <v>126</v>
      </c>
      <c r="D60" s="82"/>
      <c r="E60" s="3" t="s">
        <v>50</v>
      </c>
      <c r="F60" s="22">
        <v>10.4</v>
      </c>
      <c r="G60" s="22">
        <v>0</v>
      </c>
      <c r="H60" s="22">
        <f>F60*AN60</f>
        <v>0</v>
      </c>
      <c r="I60" s="22">
        <f>F60*AO60</f>
        <v>0</v>
      </c>
      <c r="J60" s="22">
        <f>F60*G60</f>
        <v>0</v>
      </c>
      <c r="Y60" s="22">
        <f>IF(AP60="5",BI60,0)</f>
        <v>0</v>
      </c>
      <c r="AA60" s="22">
        <f>IF(AP60="1",BG60,0)</f>
        <v>0</v>
      </c>
      <c r="AB60" s="22">
        <f>IF(AP60="1",BH60,0)</f>
        <v>0</v>
      </c>
      <c r="AC60" s="22">
        <f>IF(AP60="7",BG60,0)</f>
        <v>0</v>
      </c>
      <c r="AD60" s="22">
        <f>IF(AP60="7",BH60,0)</f>
        <v>0</v>
      </c>
      <c r="AE60" s="22">
        <f>IF(AP60="2",BG60,0)</f>
        <v>0</v>
      </c>
      <c r="AF60" s="22">
        <f>IF(AP60="2",BH60,0)</f>
        <v>0</v>
      </c>
      <c r="AG60" s="22">
        <f>IF(AP60="0",BI60,0)</f>
        <v>0</v>
      </c>
      <c r="AH60" s="9" t="s">
        <v>11</v>
      </c>
      <c r="AI60" s="22">
        <f>IF(AM60=0,J60,0)</f>
        <v>0</v>
      </c>
      <c r="AJ60" s="22">
        <f>IF(AM60=12,J60,0)</f>
        <v>0</v>
      </c>
      <c r="AK60" s="22">
        <f>IF(AM60=21,J60,0)</f>
        <v>0</v>
      </c>
      <c r="AM60" s="22">
        <v>21</v>
      </c>
      <c r="AN60" s="22">
        <f>G60*0.38627451</f>
        <v>0</v>
      </c>
      <c r="AO60" s="22">
        <f>G60*(1-0.38627451)</f>
        <v>0</v>
      </c>
      <c r="AP60" s="24" t="s">
        <v>78</v>
      </c>
      <c r="AU60" s="22">
        <f>AV60+AW60</f>
        <v>0</v>
      </c>
      <c r="AV60" s="22">
        <f>F60*AN60</f>
        <v>0</v>
      </c>
      <c r="AW60" s="22">
        <f>F60*AO60</f>
        <v>0</v>
      </c>
      <c r="AX60" s="24" t="s">
        <v>119</v>
      </c>
      <c r="AY60" s="24" t="s">
        <v>99</v>
      </c>
      <c r="AZ60" s="9" t="s">
        <v>53</v>
      </c>
      <c r="BB60" s="22">
        <f>AV60+AW60</f>
        <v>0</v>
      </c>
      <c r="BC60" s="22">
        <f>G60/(100-BD60)*100</f>
        <v>0</v>
      </c>
      <c r="BD60" s="22">
        <v>0</v>
      </c>
      <c r="BE60" s="22">
        <f>60</f>
        <v>60</v>
      </c>
      <c r="BG60" s="22">
        <f>F60*AN60</f>
        <v>0</v>
      </c>
      <c r="BH60" s="22">
        <f>F60*AO60</f>
        <v>0</v>
      </c>
      <c r="BI60" s="22">
        <f>F60*G60</f>
        <v>0</v>
      </c>
      <c r="BJ60" s="22"/>
      <c r="BK60" s="22">
        <v>764</v>
      </c>
      <c r="BV60" s="22">
        <v>21</v>
      </c>
      <c r="BW60" s="4" t="s">
        <v>126</v>
      </c>
    </row>
    <row r="61" spans="1:75" ht="14.4" x14ac:dyDescent="0.3">
      <c r="A61" s="25"/>
      <c r="C61" s="26" t="s">
        <v>120</v>
      </c>
      <c r="D61" s="26" t="s">
        <v>121</v>
      </c>
      <c r="F61" s="27">
        <v>6</v>
      </c>
    </row>
    <row r="62" spans="1:75" ht="14.4" x14ac:dyDescent="0.3">
      <c r="A62" s="25"/>
      <c r="C62" s="26" t="s">
        <v>122</v>
      </c>
      <c r="D62" s="26" t="s">
        <v>123</v>
      </c>
      <c r="F62" s="27">
        <v>4.4000000000000004</v>
      </c>
    </row>
    <row r="63" spans="1:75" ht="14.4" x14ac:dyDescent="0.3">
      <c r="A63" s="2" t="s">
        <v>127</v>
      </c>
      <c r="B63" s="3" t="s">
        <v>128</v>
      </c>
      <c r="C63" s="81" t="s">
        <v>129</v>
      </c>
      <c r="D63" s="82"/>
      <c r="E63" s="3" t="s">
        <v>130</v>
      </c>
      <c r="F63" s="22">
        <v>1</v>
      </c>
      <c r="G63" s="22">
        <v>0</v>
      </c>
      <c r="H63" s="22">
        <f>F63*AN63</f>
        <v>0</v>
      </c>
      <c r="I63" s="22">
        <f>F63*AO63</f>
        <v>0</v>
      </c>
      <c r="J63" s="22">
        <f>F63*G63</f>
        <v>0</v>
      </c>
      <c r="Y63" s="22">
        <f>IF(AP63="5",BI63,0)</f>
        <v>0</v>
      </c>
      <c r="AA63" s="22">
        <f>IF(AP63="1",BG63,0)</f>
        <v>0</v>
      </c>
      <c r="AB63" s="22">
        <f>IF(AP63="1",BH63,0)</f>
        <v>0</v>
      </c>
      <c r="AC63" s="22">
        <f>IF(AP63="7",BG63,0)</f>
        <v>0</v>
      </c>
      <c r="AD63" s="22">
        <f>IF(AP63="7",BH63,0)</f>
        <v>0</v>
      </c>
      <c r="AE63" s="22">
        <f>IF(AP63="2",BG63,0)</f>
        <v>0</v>
      </c>
      <c r="AF63" s="22">
        <f>IF(AP63="2",BH63,0)</f>
        <v>0</v>
      </c>
      <c r="AG63" s="22">
        <f>IF(AP63="0",BI63,0)</f>
        <v>0</v>
      </c>
      <c r="AH63" s="9" t="s">
        <v>11</v>
      </c>
      <c r="AI63" s="22">
        <f>IF(AM63=0,J63,0)</f>
        <v>0</v>
      </c>
      <c r="AJ63" s="22">
        <f>IF(AM63=12,J63,0)</f>
        <v>0</v>
      </c>
      <c r="AK63" s="22">
        <f>IF(AM63=21,J63,0)</f>
        <v>0</v>
      </c>
      <c r="AM63" s="22">
        <v>21</v>
      </c>
      <c r="AN63" s="22">
        <f>G63*0</f>
        <v>0</v>
      </c>
      <c r="AO63" s="22">
        <f>G63*(1-0)</f>
        <v>0</v>
      </c>
      <c r="AP63" s="24" t="s">
        <v>56</v>
      </c>
      <c r="AU63" s="22">
        <f>AV63+AW63</f>
        <v>0</v>
      </c>
      <c r="AV63" s="22">
        <f>F63*AN63</f>
        <v>0</v>
      </c>
      <c r="AW63" s="22">
        <f>F63*AO63</f>
        <v>0</v>
      </c>
      <c r="AX63" s="24" t="s">
        <v>119</v>
      </c>
      <c r="AY63" s="24" t="s">
        <v>99</v>
      </c>
      <c r="AZ63" s="9" t="s">
        <v>53</v>
      </c>
      <c r="BB63" s="22">
        <f>AV63+AW63</f>
        <v>0</v>
      </c>
      <c r="BC63" s="22">
        <f>G63/(100-BD63)*100</f>
        <v>0</v>
      </c>
      <c r="BD63" s="22">
        <v>0</v>
      </c>
      <c r="BE63" s="22">
        <f>63</f>
        <v>63</v>
      </c>
      <c r="BG63" s="22">
        <f>F63*AN63</f>
        <v>0</v>
      </c>
      <c r="BH63" s="22">
        <f>F63*AO63</f>
        <v>0</v>
      </c>
      <c r="BI63" s="22">
        <f>F63*G63</f>
        <v>0</v>
      </c>
      <c r="BJ63" s="22"/>
      <c r="BK63" s="22">
        <v>764</v>
      </c>
      <c r="BV63" s="22">
        <v>21</v>
      </c>
      <c r="BW63" s="4" t="s">
        <v>129</v>
      </c>
    </row>
    <row r="64" spans="1:75" ht="14.4" x14ac:dyDescent="0.3">
      <c r="A64" s="2" t="s">
        <v>131</v>
      </c>
      <c r="B64" s="3" t="s">
        <v>132</v>
      </c>
      <c r="C64" s="81" t="s">
        <v>133</v>
      </c>
      <c r="D64" s="82"/>
      <c r="E64" s="3" t="s">
        <v>134</v>
      </c>
      <c r="F64" s="22">
        <v>1</v>
      </c>
      <c r="G64" s="22">
        <v>0</v>
      </c>
      <c r="H64" s="22">
        <f>F64*AN64</f>
        <v>0</v>
      </c>
      <c r="I64" s="22">
        <f>F64*AO64</f>
        <v>0</v>
      </c>
      <c r="J64" s="22">
        <f>F64*G64</f>
        <v>0</v>
      </c>
      <c r="Y64" s="22">
        <f>IF(AP64="5",BI64,0)</f>
        <v>0</v>
      </c>
      <c r="AA64" s="22">
        <f>IF(AP64="1",BG64,0)</f>
        <v>0</v>
      </c>
      <c r="AB64" s="22">
        <f>IF(AP64="1",BH64,0)</f>
        <v>0</v>
      </c>
      <c r="AC64" s="22">
        <f>IF(AP64="7",BG64,0)</f>
        <v>0</v>
      </c>
      <c r="AD64" s="22">
        <f>IF(AP64="7",BH64,0)</f>
        <v>0</v>
      </c>
      <c r="AE64" s="22">
        <f>IF(AP64="2",BG64,0)</f>
        <v>0</v>
      </c>
      <c r="AF64" s="22">
        <f>IF(AP64="2",BH64,0)</f>
        <v>0</v>
      </c>
      <c r="AG64" s="22">
        <f>IF(AP64="0",BI64,0)</f>
        <v>0</v>
      </c>
      <c r="AH64" s="9" t="s">
        <v>11</v>
      </c>
      <c r="AI64" s="22">
        <f>IF(AM64=0,J64,0)</f>
        <v>0</v>
      </c>
      <c r="AJ64" s="22">
        <f>IF(AM64=12,J64,0)</f>
        <v>0</v>
      </c>
      <c r="AK64" s="22">
        <f>IF(AM64=21,J64,0)</f>
        <v>0</v>
      </c>
      <c r="AM64" s="22">
        <v>21</v>
      </c>
      <c r="AN64" s="22">
        <f>G64*0.481589134</f>
        <v>0</v>
      </c>
      <c r="AO64" s="22">
        <f>G64*(1-0.481589134)</f>
        <v>0</v>
      </c>
      <c r="AP64" s="24" t="s">
        <v>78</v>
      </c>
      <c r="AU64" s="22">
        <f>AV64+AW64</f>
        <v>0</v>
      </c>
      <c r="AV64" s="22">
        <f>F64*AN64</f>
        <v>0</v>
      </c>
      <c r="AW64" s="22">
        <f>F64*AO64</f>
        <v>0</v>
      </c>
      <c r="AX64" s="24" t="s">
        <v>119</v>
      </c>
      <c r="AY64" s="24" t="s">
        <v>99</v>
      </c>
      <c r="AZ64" s="9" t="s">
        <v>53</v>
      </c>
      <c r="BB64" s="22">
        <f>AV64+AW64</f>
        <v>0</v>
      </c>
      <c r="BC64" s="22">
        <f>G64/(100-BD64)*100</f>
        <v>0</v>
      </c>
      <c r="BD64" s="22">
        <v>0</v>
      </c>
      <c r="BE64" s="22">
        <f>64</f>
        <v>64</v>
      </c>
      <c r="BG64" s="22">
        <f>F64*AN64</f>
        <v>0</v>
      </c>
      <c r="BH64" s="22">
        <f>F64*AO64</f>
        <v>0</v>
      </c>
      <c r="BI64" s="22">
        <f>F64*G64</f>
        <v>0</v>
      </c>
      <c r="BJ64" s="22"/>
      <c r="BK64" s="22">
        <v>764</v>
      </c>
      <c r="BV64" s="22">
        <v>21</v>
      </c>
      <c r="BW64" s="4" t="s">
        <v>133</v>
      </c>
    </row>
    <row r="65" spans="1:75" ht="14.4" x14ac:dyDescent="0.3">
      <c r="A65" s="2" t="s">
        <v>135</v>
      </c>
      <c r="B65" s="3" t="s">
        <v>136</v>
      </c>
      <c r="C65" s="81" t="s">
        <v>137</v>
      </c>
      <c r="D65" s="82"/>
      <c r="E65" s="3" t="s">
        <v>134</v>
      </c>
      <c r="F65" s="22">
        <v>1</v>
      </c>
      <c r="G65" s="22">
        <v>0</v>
      </c>
      <c r="H65" s="22">
        <f>F65*AN65</f>
        <v>0</v>
      </c>
      <c r="I65" s="22">
        <f>F65*AO65</f>
        <v>0</v>
      </c>
      <c r="J65" s="22">
        <f>F65*G65</f>
        <v>0</v>
      </c>
      <c r="Y65" s="22">
        <f>IF(AP65="5",BI65,0)</f>
        <v>0</v>
      </c>
      <c r="AA65" s="22">
        <f>IF(AP65="1",BG65,0)</f>
        <v>0</v>
      </c>
      <c r="AB65" s="22">
        <f>IF(AP65="1",BH65,0)</f>
        <v>0</v>
      </c>
      <c r="AC65" s="22">
        <f>IF(AP65="7",BG65,0)</f>
        <v>0</v>
      </c>
      <c r="AD65" s="22">
        <f>IF(AP65="7",BH65,0)</f>
        <v>0</v>
      </c>
      <c r="AE65" s="22">
        <f>IF(AP65="2",BG65,0)</f>
        <v>0</v>
      </c>
      <c r="AF65" s="22">
        <f>IF(AP65="2",BH65,0)</f>
        <v>0</v>
      </c>
      <c r="AG65" s="22">
        <f>IF(AP65="0",BI65,0)</f>
        <v>0</v>
      </c>
      <c r="AH65" s="9" t="s">
        <v>11</v>
      </c>
      <c r="AI65" s="22">
        <f>IF(AM65=0,J65,0)</f>
        <v>0</v>
      </c>
      <c r="AJ65" s="22">
        <f>IF(AM65=12,J65,0)</f>
        <v>0</v>
      </c>
      <c r="AK65" s="22">
        <f>IF(AM65=21,J65,0)</f>
        <v>0</v>
      </c>
      <c r="AM65" s="22">
        <v>21</v>
      </c>
      <c r="AN65" s="22">
        <f>G65*0.335363</f>
        <v>0</v>
      </c>
      <c r="AO65" s="22">
        <f>G65*(1-0.335363)</f>
        <v>0</v>
      </c>
      <c r="AP65" s="24" t="s">
        <v>78</v>
      </c>
      <c r="AU65" s="22">
        <f>AV65+AW65</f>
        <v>0</v>
      </c>
      <c r="AV65" s="22">
        <f>F65*AN65</f>
        <v>0</v>
      </c>
      <c r="AW65" s="22">
        <f>F65*AO65</f>
        <v>0</v>
      </c>
      <c r="AX65" s="24" t="s">
        <v>119</v>
      </c>
      <c r="AY65" s="24" t="s">
        <v>99</v>
      </c>
      <c r="AZ65" s="9" t="s">
        <v>53</v>
      </c>
      <c r="BB65" s="22">
        <f>AV65+AW65</f>
        <v>0</v>
      </c>
      <c r="BC65" s="22">
        <f>G65/(100-BD65)*100</f>
        <v>0</v>
      </c>
      <c r="BD65" s="22">
        <v>0</v>
      </c>
      <c r="BE65" s="22">
        <f>65</f>
        <v>65</v>
      </c>
      <c r="BG65" s="22">
        <f>F65*AN65</f>
        <v>0</v>
      </c>
      <c r="BH65" s="22">
        <f>F65*AO65</f>
        <v>0</v>
      </c>
      <c r="BI65" s="22">
        <f>F65*G65</f>
        <v>0</v>
      </c>
      <c r="BJ65" s="22"/>
      <c r="BK65" s="22">
        <v>764</v>
      </c>
      <c r="BV65" s="22">
        <v>21</v>
      </c>
      <c r="BW65" s="4" t="s">
        <v>137</v>
      </c>
    </row>
    <row r="66" spans="1:75" ht="14.4" x14ac:dyDescent="0.3">
      <c r="A66" s="28" t="s">
        <v>11</v>
      </c>
      <c r="B66" s="29" t="s">
        <v>138</v>
      </c>
      <c r="C66" s="83" t="s">
        <v>139</v>
      </c>
      <c r="D66" s="84"/>
      <c r="E66" s="30" t="s">
        <v>4</v>
      </c>
      <c r="F66" s="30" t="s">
        <v>4</v>
      </c>
      <c r="G66" s="30" t="s">
        <v>4</v>
      </c>
      <c r="H66" s="1">
        <f>SUM(H67:H71)</f>
        <v>0</v>
      </c>
      <c r="I66" s="1">
        <f>SUM(I67:I71)</f>
        <v>0</v>
      </c>
      <c r="J66" s="1">
        <f>SUM(J67:J71)</f>
        <v>0</v>
      </c>
      <c r="AH66" s="9" t="s">
        <v>11</v>
      </c>
      <c r="AR66" s="1">
        <f>SUM(AI67:AI71)</f>
        <v>0</v>
      </c>
      <c r="AS66" s="1">
        <f>SUM(AJ67:AJ71)</f>
        <v>0</v>
      </c>
      <c r="AT66" s="1">
        <f>SUM(AK67:AK71)</f>
        <v>0</v>
      </c>
    </row>
    <row r="67" spans="1:75" ht="14.4" x14ac:dyDescent="0.3">
      <c r="A67" s="2" t="s">
        <v>140</v>
      </c>
      <c r="B67" s="3" t="s">
        <v>141</v>
      </c>
      <c r="C67" s="81" t="s">
        <v>142</v>
      </c>
      <c r="D67" s="82"/>
      <c r="E67" s="3" t="s">
        <v>50</v>
      </c>
      <c r="F67" s="22">
        <v>11.747999999999999</v>
      </c>
      <c r="G67" s="22">
        <v>0</v>
      </c>
      <c r="H67" s="22">
        <f>F67*AN67</f>
        <v>0</v>
      </c>
      <c r="I67" s="22">
        <f>F67*AO67</f>
        <v>0</v>
      </c>
      <c r="J67" s="22">
        <f>F67*G67</f>
        <v>0</v>
      </c>
      <c r="Y67" s="22">
        <f>IF(AP67="5",BI67,0)</f>
        <v>0</v>
      </c>
      <c r="AA67" s="22">
        <f>IF(AP67="1",BG67,0)</f>
        <v>0</v>
      </c>
      <c r="AB67" s="22">
        <f>IF(AP67="1",BH67,0)</f>
        <v>0</v>
      </c>
      <c r="AC67" s="22">
        <f>IF(AP67="7",BG67,0)</f>
        <v>0</v>
      </c>
      <c r="AD67" s="22">
        <f>IF(AP67="7",BH67,0)</f>
        <v>0</v>
      </c>
      <c r="AE67" s="22">
        <f>IF(AP67="2",BG67,0)</f>
        <v>0</v>
      </c>
      <c r="AF67" s="22">
        <f>IF(AP67="2",BH67,0)</f>
        <v>0</v>
      </c>
      <c r="AG67" s="22">
        <f>IF(AP67="0",BI67,0)</f>
        <v>0</v>
      </c>
      <c r="AH67" s="9" t="s">
        <v>11</v>
      </c>
      <c r="AI67" s="22">
        <f>IF(AM67=0,J67,0)</f>
        <v>0</v>
      </c>
      <c r="AJ67" s="22">
        <f>IF(AM67=12,J67,0)</f>
        <v>0</v>
      </c>
      <c r="AK67" s="22">
        <f>IF(AM67=21,J67,0)</f>
        <v>0</v>
      </c>
      <c r="AM67" s="22">
        <v>21</v>
      </c>
      <c r="AN67" s="22">
        <f>G67*0</f>
        <v>0</v>
      </c>
      <c r="AO67" s="22">
        <f>G67*(1-0)</f>
        <v>0</v>
      </c>
      <c r="AP67" s="24" t="s">
        <v>78</v>
      </c>
      <c r="AU67" s="22">
        <f>AV67+AW67</f>
        <v>0</v>
      </c>
      <c r="AV67" s="22">
        <f>F67*AN67</f>
        <v>0</v>
      </c>
      <c r="AW67" s="22">
        <f>F67*AO67</f>
        <v>0</v>
      </c>
      <c r="AX67" s="24" t="s">
        <v>143</v>
      </c>
      <c r="AY67" s="24" t="s">
        <v>99</v>
      </c>
      <c r="AZ67" s="9" t="s">
        <v>53</v>
      </c>
      <c r="BB67" s="22">
        <f>AV67+AW67</f>
        <v>0</v>
      </c>
      <c r="BC67" s="22">
        <f>G67/(100-BD67)*100</f>
        <v>0</v>
      </c>
      <c r="BD67" s="22">
        <v>0</v>
      </c>
      <c r="BE67" s="22">
        <f>67</f>
        <v>67</v>
      </c>
      <c r="BG67" s="22">
        <f>F67*AN67</f>
        <v>0</v>
      </c>
      <c r="BH67" s="22">
        <f>F67*AO67</f>
        <v>0</v>
      </c>
      <c r="BI67" s="22">
        <f>F67*G67</f>
        <v>0</v>
      </c>
      <c r="BJ67" s="22"/>
      <c r="BK67" s="22">
        <v>765</v>
      </c>
      <c r="BV67" s="22">
        <v>21</v>
      </c>
      <c r="BW67" s="4" t="s">
        <v>142</v>
      </c>
    </row>
    <row r="68" spans="1:75" ht="14.4" x14ac:dyDescent="0.3">
      <c r="A68" s="25"/>
      <c r="C68" s="26" t="s">
        <v>100</v>
      </c>
      <c r="D68" s="26" t="s">
        <v>11</v>
      </c>
      <c r="F68" s="27">
        <v>11.747999999999999</v>
      </c>
    </row>
    <row r="69" spans="1:75" ht="26.4" x14ac:dyDescent="0.3">
      <c r="A69" s="2" t="s">
        <v>144</v>
      </c>
      <c r="B69" s="3" t="s">
        <v>145</v>
      </c>
      <c r="C69" s="81" t="s">
        <v>146</v>
      </c>
      <c r="D69" s="82"/>
      <c r="E69" s="3" t="s">
        <v>50</v>
      </c>
      <c r="F69" s="22">
        <v>11.747999999999999</v>
      </c>
      <c r="G69" s="22">
        <v>0</v>
      </c>
      <c r="H69" s="22">
        <f>F69*AN69</f>
        <v>0</v>
      </c>
      <c r="I69" s="22">
        <f>F69*AO69</f>
        <v>0</v>
      </c>
      <c r="J69" s="22">
        <f>F69*G69</f>
        <v>0</v>
      </c>
      <c r="Y69" s="22">
        <f>IF(AP69="5",BI69,0)</f>
        <v>0</v>
      </c>
      <c r="AA69" s="22">
        <f>IF(AP69="1",BG69,0)</f>
        <v>0</v>
      </c>
      <c r="AB69" s="22">
        <f>IF(AP69="1",BH69,0)</f>
        <v>0</v>
      </c>
      <c r="AC69" s="22">
        <f>IF(AP69="7",BG69,0)</f>
        <v>0</v>
      </c>
      <c r="AD69" s="22">
        <f>IF(AP69="7",BH69,0)</f>
        <v>0</v>
      </c>
      <c r="AE69" s="22">
        <f>IF(AP69="2",BG69,0)</f>
        <v>0</v>
      </c>
      <c r="AF69" s="22">
        <f>IF(AP69="2",BH69,0)</f>
        <v>0</v>
      </c>
      <c r="AG69" s="22">
        <f>IF(AP69="0",BI69,0)</f>
        <v>0</v>
      </c>
      <c r="AH69" s="9" t="s">
        <v>11</v>
      </c>
      <c r="AI69" s="22">
        <f>IF(AM69=0,J69,0)</f>
        <v>0</v>
      </c>
      <c r="AJ69" s="22">
        <f>IF(AM69=12,J69,0)</f>
        <v>0</v>
      </c>
      <c r="AK69" s="22">
        <f>IF(AM69=21,J69,0)</f>
        <v>0</v>
      </c>
      <c r="AM69" s="22">
        <v>21</v>
      </c>
      <c r="AN69" s="22">
        <f>G69*0.787963284</f>
        <v>0</v>
      </c>
      <c r="AO69" s="22">
        <f>G69*(1-0.787963284)</f>
        <v>0</v>
      </c>
      <c r="AP69" s="24" t="s">
        <v>78</v>
      </c>
      <c r="AU69" s="22">
        <f>AV69+AW69</f>
        <v>0</v>
      </c>
      <c r="AV69" s="22">
        <f>F69*AN69</f>
        <v>0</v>
      </c>
      <c r="AW69" s="22">
        <f>F69*AO69</f>
        <v>0</v>
      </c>
      <c r="AX69" s="24" t="s">
        <v>143</v>
      </c>
      <c r="AY69" s="24" t="s">
        <v>99</v>
      </c>
      <c r="AZ69" s="9" t="s">
        <v>53</v>
      </c>
      <c r="BB69" s="22">
        <f>AV69+AW69</f>
        <v>0</v>
      </c>
      <c r="BC69" s="22">
        <f>G69/(100-BD69)*100</f>
        <v>0</v>
      </c>
      <c r="BD69" s="22">
        <v>0</v>
      </c>
      <c r="BE69" s="22">
        <f>69</f>
        <v>69</v>
      </c>
      <c r="BG69" s="22">
        <f>F69*AN69</f>
        <v>0</v>
      </c>
      <c r="BH69" s="22">
        <f>F69*AO69</f>
        <v>0</v>
      </c>
      <c r="BI69" s="22">
        <f>F69*G69</f>
        <v>0</v>
      </c>
      <c r="BJ69" s="22"/>
      <c r="BK69" s="22">
        <v>765</v>
      </c>
      <c r="BV69" s="22">
        <v>21</v>
      </c>
      <c r="BW69" s="4" t="s">
        <v>146</v>
      </c>
    </row>
    <row r="70" spans="1:75" ht="14.4" x14ac:dyDescent="0.3">
      <c r="A70" s="25"/>
      <c r="C70" s="26" t="s">
        <v>100</v>
      </c>
      <c r="D70" s="26" t="s">
        <v>101</v>
      </c>
      <c r="F70" s="27">
        <v>11.747999999999999</v>
      </c>
    </row>
    <row r="71" spans="1:75" ht="14.4" x14ac:dyDescent="0.3">
      <c r="A71" s="2" t="s">
        <v>147</v>
      </c>
      <c r="B71" s="3" t="s">
        <v>148</v>
      </c>
      <c r="C71" s="81" t="s">
        <v>149</v>
      </c>
      <c r="D71" s="82"/>
      <c r="E71" s="3" t="s">
        <v>92</v>
      </c>
      <c r="F71" s="22">
        <v>0</v>
      </c>
      <c r="G71" s="22">
        <v>0</v>
      </c>
      <c r="H71" s="22">
        <f>F71*AN71</f>
        <v>0</v>
      </c>
      <c r="I71" s="22">
        <f>F71*AO71</f>
        <v>0</v>
      </c>
      <c r="J71" s="22">
        <f>F71*G71</f>
        <v>0</v>
      </c>
      <c r="Y71" s="22">
        <f>IF(AP71="5",BI71,0)</f>
        <v>0</v>
      </c>
      <c r="AA71" s="22">
        <f>IF(AP71="1",BG71,0)</f>
        <v>0</v>
      </c>
      <c r="AB71" s="22">
        <f>IF(AP71="1",BH71,0)</f>
        <v>0</v>
      </c>
      <c r="AC71" s="22">
        <f>IF(AP71="7",BG71,0)</f>
        <v>0</v>
      </c>
      <c r="AD71" s="22">
        <f>IF(AP71="7",BH71,0)</f>
        <v>0</v>
      </c>
      <c r="AE71" s="22">
        <f>IF(AP71="2",BG71,0)</f>
        <v>0</v>
      </c>
      <c r="AF71" s="22">
        <f>IF(AP71="2",BH71,0)</f>
        <v>0</v>
      </c>
      <c r="AG71" s="22">
        <f>IF(AP71="0",BI71,0)</f>
        <v>0</v>
      </c>
      <c r="AH71" s="9" t="s">
        <v>11</v>
      </c>
      <c r="AI71" s="22">
        <f>IF(AM71=0,J71,0)</f>
        <v>0</v>
      </c>
      <c r="AJ71" s="22">
        <f>IF(AM71=12,J71,0)</f>
        <v>0</v>
      </c>
      <c r="AK71" s="22">
        <f>IF(AM71=21,J71,0)</f>
        <v>0</v>
      </c>
      <c r="AM71" s="22">
        <v>21</v>
      </c>
      <c r="AN71" s="22">
        <f>G71*0</f>
        <v>0</v>
      </c>
      <c r="AO71" s="22">
        <f>G71*(1-0)</f>
        <v>0</v>
      </c>
      <c r="AP71" s="24" t="s">
        <v>65</v>
      </c>
      <c r="AU71" s="22">
        <f>AV71+AW71</f>
        <v>0</v>
      </c>
      <c r="AV71" s="22">
        <f>F71*AN71</f>
        <v>0</v>
      </c>
      <c r="AW71" s="22">
        <f>F71*AO71</f>
        <v>0</v>
      </c>
      <c r="AX71" s="24" t="s">
        <v>143</v>
      </c>
      <c r="AY71" s="24" t="s">
        <v>99</v>
      </c>
      <c r="AZ71" s="9" t="s">
        <v>53</v>
      </c>
      <c r="BB71" s="22">
        <f>AV71+AW71</f>
        <v>0</v>
      </c>
      <c r="BC71" s="22">
        <f>G71/(100-BD71)*100</f>
        <v>0</v>
      </c>
      <c r="BD71" s="22">
        <v>0</v>
      </c>
      <c r="BE71" s="22">
        <f>71</f>
        <v>71</v>
      </c>
      <c r="BG71" s="22">
        <f>F71*AN71</f>
        <v>0</v>
      </c>
      <c r="BH71" s="22">
        <f>F71*AO71</f>
        <v>0</v>
      </c>
      <c r="BI71" s="22">
        <f>F71*G71</f>
        <v>0</v>
      </c>
      <c r="BJ71" s="22"/>
      <c r="BK71" s="22">
        <v>765</v>
      </c>
      <c r="BV71" s="22">
        <v>21</v>
      </c>
      <c r="BW71" s="4" t="s">
        <v>149</v>
      </c>
    </row>
    <row r="72" spans="1:75" ht="14.4" x14ac:dyDescent="0.3">
      <c r="A72" s="28" t="s">
        <v>11</v>
      </c>
      <c r="B72" s="29" t="s">
        <v>150</v>
      </c>
      <c r="C72" s="83" t="s">
        <v>151</v>
      </c>
      <c r="D72" s="84"/>
      <c r="E72" s="30" t="s">
        <v>4</v>
      </c>
      <c r="F72" s="30" t="s">
        <v>4</v>
      </c>
      <c r="G72" s="30" t="s">
        <v>4</v>
      </c>
      <c r="H72" s="1">
        <f>SUM(H73:H74)</f>
        <v>0</v>
      </c>
      <c r="I72" s="1">
        <f>SUM(I73:I74)</f>
        <v>0</v>
      </c>
      <c r="J72" s="1">
        <f>SUM(J73:J74)</f>
        <v>0</v>
      </c>
      <c r="AH72" s="9" t="s">
        <v>11</v>
      </c>
      <c r="AR72" s="1">
        <f>SUM(AI73:AI74)</f>
        <v>0</v>
      </c>
      <c r="AS72" s="1">
        <f>SUM(AJ73:AJ74)</f>
        <v>0</v>
      </c>
      <c r="AT72" s="1">
        <f>SUM(AK73:AK74)</f>
        <v>0</v>
      </c>
    </row>
    <row r="73" spans="1:75" ht="14.4" x14ac:dyDescent="0.3">
      <c r="A73" s="2" t="s">
        <v>152</v>
      </c>
      <c r="B73" s="3" t="s">
        <v>153</v>
      </c>
      <c r="C73" s="81" t="s">
        <v>154</v>
      </c>
      <c r="D73" s="82"/>
      <c r="E73" s="3" t="s">
        <v>130</v>
      </c>
      <c r="F73" s="22">
        <v>1</v>
      </c>
      <c r="G73" s="22">
        <v>0</v>
      </c>
      <c r="H73" s="22">
        <f>F73*AN73</f>
        <v>0</v>
      </c>
      <c r="I73" s="22">
        <f>F73*AO73</f>
        <v>0</v>
      </c>
      <c r="J73" s="22">
        <f>F73*G73</f>
        <v>0</v>
      </c>
      <c r="Y73" s="22">
        <f>IF(AP73="5",BI73,0)</f>
        <v>0</v>
      </c>
      <c r="AA73" s="22">
        <f>IF(AP73="1",BG73,0)</f>
        <v>0</v>
      </c>
      <c r="AB73" s="22">
        <f>IF(AP73="1",BH73,0)</f>
        <v>0</v>
      </c>
      <c r="AC73" s="22">
        <f>IF(AP73="7",BG73,0)</f>
        <v>0</v>
      </c>
      <c r="AD73" s="22">
        <f>IF(AP73="7",BH73,0)</f>
        <v>0</v>
      </c>
      <c r="AE73" s="22">
        <f>IF(AP73="2",BG73,0)</f>
        <v>0</v>
      </c>
      <c r="AF73" s="22">
        <f>IF(AP73="2",BH73,0)</f>
        <v>0</v>
      </c>
      <c r="AG73" s="22">
        <f>IF(AP73="0",BI73,0)</f>
        <v>0</v>
      </c>
      <c r="AH73" s="9" t="s">
        <v>11</v>
      </c>
      <c r="AI73" s="22">
        <f>IF(AM73=0,J73,0)</f>
        <v>0</v>
      </c>
      <c r="AJ73" s="22">
        <f>IF(AM73=12,J73,0)</f>
        <v>0</v>
      </c>
      <c r="AK73" s="22">
        <f>IF(AM73=21,J73,0)</f>
        <v>0</v>
      </c>
      <c r="AM73" s="22">
        <v>21</v>
      </c>
      <c r="AN73" s="22">
        <f>G73*0.1887295</f>
        <v>0</v>
      </c>
      <c r="AO73" s="22">
        <f>G73*(1-0.1887295)</f>
        <v>0</v>
      </c>
      <c r="AP73" s="24" t="s">
        <v>78</v>
      </c>
      <c r="AU73" s="22">
        <f>AV73+AW73</f>
        <v>0</v>
      </c>
      <c r="AV73" s="22">
        <f>F73*AN73</f>
        <v>0</v>
      </c>
      <c r="AW73" s="22">
        <f>F73*AO73</f>
        <v>0</v>
      </c>
      <c r="AX73" s="24" t="s">
        <v>155</v>
      </c>
      <c r="AY73" s="24" t="s">
        <v>99</v>
      </c>
      <c r="AZ73" s="9" t="s">
        <v>53</v>
      </c>
      <c r="BB73" s="22">
        <f>AV73+AW73</f>
        <v>0</v>
      </c>
      <c r="BC73" s="22">
        <f>G73/(100-BD73)*100</f>
        <v>0</v>
      </c>
      <c r="BD73" s="22">
        <v>0</v>
      </c>
      <c r="BE73" s="22">
        <f>73</f>
        <v>73</v>
      </c>
      <c r="BG73" s="22">
        <f>F73*AN73</f>
        <v>0</v>
      </c>
      <c r="BH73" s="22">
        <f>F73*AO73</f>
        <v>0</v>
      </c>
      <c r="BI73" s="22">
        <f>F73*G73</f>
        <v>0</v>
      </c>
      <c r="BJ73" s="22"/>
      <c r="BK73" s="22">
        <v>766</v>
      </c>
      <c r="BV73" s="22">
        <v>21</v>
      </c>
      <c r="BW73" s="4" t="s">
        <v>154</v>
      </c>
    </row>
    <row r="74" spans="1:75" ht="14.4" x14ac:dyDescent="0.3">
      <c r="A74" s="2" t="s">
        <v>156</v>
      </c>
      <c r="B74" s="3" t="s">
        <v>157</v>
      </c>
      <c r="C74" s="81" t="s">
        <v>158</v>
      </c>
      <c r="D74" s="82"/>
      <c r="E74" s="3" t="s">
        <v>130</v>
      </c>
      <c r="F74" s="22">
        <v>2</v>
      </c>
      <c r="G74" s="22">
        <v>0</v>
      </c>
      <c r="H74" s="22">
        <f>F74*AN74</f>
        <v>0</v>
      </c>
      <c r="I74" s="22">
        <f>F74*AO74</f>
        <v>0</v>
      </c>
      <c r="J74" s="22">
        <f>F74*G74</f>
        <v>0</v>
      </c>
      <c r="Y74" s="22">
        <f>IF(AP74="5",BI74,0)</f>
        <v>0</v>
      </c>
      <c r="AA74" s="22">
        <f>IF(AP74="1",BG74,0)</f>
        <v>0</v>
      </c>
      <c r="AB74" s="22">
        <f>IF(AP74="1",BH74,0)</f>
        <v>0</v>
      </c>
      <c r="AC74" s="22">
        <f>IF(AP74="7",BG74,0)</f>
        <v>0</v>
      </c>
      <c r="AD74" s="22">
        <f>IF(AP74="7",BH74,0)</f>
        <v>0</v>
      </c>
      <c r="AE74" s="22">
        <f>IF(AP74="2",BG74,0)</f>
        <v>0</v>
      </c>
      <c r="AF74" s="22">
        <f>IF(AP74="2",BH74,0)</f>
        <v>0</v>
      </c>
      <c r="AG74" s="22">
        <f>IF(AP74="0",BI74,0)</f>
        <v>0</v>
      </c>
      <c r="AH74" s="9" t="s">
        <v>11</v>
      </c>
      <c r="AI74" s="22">
        <f>IF(AM74=0,J74,0)</f>
        <v>0</v>
      </c>
      <c r="AJ74" s="22">
        <f>IF(AM74=12,J74,0)</f>
        <v>0</v>
      </c>
      <c r="AK74" s="22">
        <f>IF(AM74=21,J74,0)</f>
        <v>0</v>
      </c>
      <c r="AM74" s="22">
        <v>21</v>
      </c>
      <c r="AN74" s="22">
        <f>G74*0.213535333</f>
        <v>0</v>
      </c>
      <c r="AO74" s="22">
        <f>G74*(1-0.213535333)</f>
        <v>0</v>
      </c>
      <c r="AP74" s="24" t="s">
        <v>78</v>
      </c>
      <c r="AU74" s="22">
        <f>AV74+AW74</f>
        <v>0</v>
      </c>
      <c r="AV74" s="22">
        <f>F74*AN74</f>
        <v>0</v>
      </c>
      <c r="AW74" s="22">
        <f>F74*AO74</f>
        <v>0</v>
      </c>
      <c r="AX74" s="24" t="s">
        <v>155</v>
      </c>
      <c r="AY74" s="24" t="s">
        <v>99</v>
      </c>
      <c r="AZ74" s="9" t="s">
        <v>53</v>
      </c>
      <c r="BB74" s="22">
        <f>AV74+AW74</f>
        <v>0</v>
      </c>
      <c r="BC74" s="22">
        <f>G74/(100-BD74)*100</f>
        <v>0</v>
      </c>
      <c r="BD74" s="22">
        <v>0</v>
      </c>
      <c r="BE74" s="22">
        <f>74</f>
        <v>74</v>
      </c>
      <c r="BG74" s="22">
        <f>F74*AN74</f>
        <v>0</v>
      </c>
      <c r="BH74" s="22">
        <f>F74*AO74</f>
        <v>0</v>
      </c>
      <c r="BI74" s="22">
        <f>F74*G74</f>
        <v>0</v>
      </c>
      <c r="BJ74" s="22"/>
      <c r="BK74" s="22">
        <v>766</v>
      </c>
      <c r="BV74" s="22">
        <v>21</v>
      </c>
      <c r="BW74" s="4" t="s">
        <v>158</v>
      </c>
    </row>
    <row r="75" spans="1:75" ht="14.4" x14ac:dyDescent="0.3">
      <c r="A75" s="28" t="s">
        <v>11</v>
      </c>
      <c r="B75" s="29" t="s">
        <v>159</v>
      </c>
      <c r="C75" s="83" t="s">
        <v>160</v>
      </c>
      <c r="D75" s="84"/>
      <c r="E75" s="30" t="s">
        <v>4</v>
      </c>
      <c r="F75" s="30" t="s">
        <v>4</v>
      </c>
      <c r="G75" s="30" t="s">
        <v>4</v>
      </c>
      <c r="H75" s="1">
        <f>SUM(H76:H76)</f>
        <v>0</v>
      </c>
      <c r="I75" s="1">
        <f>SUM(I76:I76)</f>
        <v>0</v>
      </c>
      <c r="J75" s="1">
        <f>SUM(J76:J76)</f>
        <v>0</v>
      </c>
      <c r="AH75" s="9" t="s">
        <v>11</v>
      </c>
      <c r="AR75" s="1">
        <f>SUM(AI76:AI76)</f>
        <v>0</v>
      </c>
      <c r="AS75" s="1">
        <f>SUM(AJ76:AJ76)</f>
        <v>0</v>
      </c>
      <c r="AT75" s="1">
        <f>SUM(AK76:AK76)</f>
        <v>0</v>
      </c>
    </row>
    <row r="76" spans="1:75" ht="14.4" x14ac:dyDescent="0.3">
      <c r="A76" s="2" t="s">
        <v>161</v>
      </c>
      <c r="B76" s="3" t="s">
        <v>162</v>
      </c>
      <c r="C76" s="81" t="s">
        <v>163</v>
      </c>
      <c r="D76" s="82"/>
      <c r="E76" s="3" t="s">
        <v>50</v>
      </c>
      <c r="F76" s="22">
        <v>67.680000000000007</v>
      </c>
      <c r="G76" s="22">
        <v>0</v>
      </c>
      <c r="H76" s="22">
        <f>F76*AN76</f>
        <v>0</v>
      </c>
      <c r="I76" s="22">
        <f>F76*AO76</f>
        <v>0</v>
      </c>
      <c r="J76" s="22">
        <f>F76*G76</f>
        <v>0</v>
      </c>
      <c r="Y76" s="22">
        <f>IF(AP76="5",BI76,0)</f>
        <v>0</v>
      </c>
      <c r="AA76" s="22">
        <f>IF(AP76="1",BG76,0)</f>
        <v>0</v>
      </c>
      <c r="AB76" s="22">
        <f>IF(AP76="1",BH76,0)</f>
        <v>0</v>
      </c>
      <c r="AC76" s="22">
        <f>IF(AP76="7",BG76,0)</f>
        <v>0</v>
      </c>
      <c r="AD76" s="22">
        <f>IF(AP76="7",BH76,0)</f>
        <v>0</v>
      </c>
      <c r="AE76" s="22">
        <f>IF(AP76="2",BG76,0)</f>
        <v>0</v>
      </c>
      <c r="AF76" s="22">
        <f>IF(AP76="2",BH76,0)</f>
        <v>0</v>
      </c>
      <c r="AG76" s="22">
        <f>IF(AP76="0",BI76,0)</f>
        <v>0</v>
      </c>
      <c r="AH76" s="9" t="s">
        <v>11</v>
      </c>
      <c r="AI76" s="22">
        <f>IF(AM76=0,J76,0)</f>
        <v>0</v>
      </c>
      <c r="AJ76" s="22">
        <f>IF(AM76=12,J76,0)</f>
        <v>0</v>
      </c>
      <c r="AK76" s="22">
        <f>IF(AM76=21,J76,0)</f>
        <v>0</v>
      </c>
      <c r="AM76" s="22">
        <v>21</v>
      </c>
      <c r="AN76" s="22">
        <f>G76*0.000137925</f>
        <v>0</v>
      </c>
      <c r="AO76" s="22">
        <f>G76*(1-0.000137925)</f>
        <v>0</v>
      </c>
      <c r="AP76" s="24" t="s">
        <v>47</v>
      </c>
      <c r="AU76" s="22">
        <f>AV76+AW76</f>
        <v>0</v>
      </c>
      <c r="AV76" s="22">
        <f>F76*AN76</f>
        <v>0</v>
      </c>
      <c r="AW76" s="22">
        <f>F76*AO76</f>
        <v>0</v>
      </c>
      <c r="AX76" s="24" t="s">
        <v>164</v>
      </c>
      <c r="AY76" s="24" t="s">
        <v>165</v>
      </c>
      <c r="AZ76" s="9" t="s">
        <v>53</v>
      </c>
      <c r="BB76" s="22">
        <f>AV76+AW76</f>
        <v>0</v>
      </c>
      <c r="BC76" s="22">
        <f>G76/(100-BD76)*100</f>
        <v>0</v>
      </c>
      <c r="BD76" s="22">
        <v>0</v>
      </c>
      <c r="BE76" s="22">
        <f>76</f>
        <v>76</v>
      </c>
      <c r="BG76" s="22">
        <f>F76*AN76</f>
        <v>0</v>
      </c>
      <c r="BH76" s="22">
        <f>F76*AO76</f>
        <v>0</v>
      </c>
      <c r="BI76" s="22">
        <f>F76*G76</f>
        <v>0</v>
      </c>
      <c r="BJ76" s="22"/>
      <c r="BK76" s="22">
        <v>94</v>
      </c>
      <c r="BV76" s="22">
        <v>21</v>
      </c>
      <c r="BW76" s="4" t="s">
        <v>163</v>
      </c>
    </row>
    <row r="77" spans="1:75" ht="14.4" x14ac:dyDescent="0.3">
      <c r="A77" s="25"/>
      <c r="C77" s="26" t="s">
        <v>166</v>
      </c>
      <c r="D77" s="26" t="s">
        <v>11</v>
      </c>
      <c r="F77" s="27">
        <v>33.119999999999997</v>
      </c>
    </row>
    <row r="78" spans="1:75" ht="14.4" x14ac:dyDescent="0.3">
      <c r="A78" s="32"/>
      <c r="B78" s="33"/>
      <c r="C78" s="34" t="s">
        <v>167</v>
      </c>
      <c r="D78" s="34" t="s">
        <v>11</v>
      </c>
      <c r="E78" s="33"/>
      <c r="F78" s="35">
        <v>34.56</v>
      </c>
      <c r="G78" s="33"/>
      <c r="H78" s="33"/>
      <c r="I78" s="33"/>
      <c r="J78" s="33"/>
    </row>
    <row r="79" spans="1:75" ht="14.4" x14ac:dyDescent="0.3">
      <c r="H79" s="85" t="s">
        <v>168</v>
      </c>
      <c r="I79" s="85"/>
      <c r="J79" s="36">
        <f>J12+J46+J56+J66+J72+J75</f>
        <v>0</v>
      </c>
    </row>
    <row r="80" spans="1:75" ht="14.4" x14ac:dyDescent="0.3">
      <c r="A80" s="37" t="s">
        <v>169</v>
      </c>
    </row>
    <row r="81" spans="1:10" ht="12.75" customHeight="1" x14ac:dyDescent="0.3">
      <c r="A81" s="81" t="s">
        <v>11</v>
      </c>
      <c r="B81" s="82"/>
      <c r="C81" s="82"/>
      <c r="D81" s="82"/>
      <c r="E81" s="82"/>
      <c r="F81" s="82"/>
      <c r="G81" s="82"/>
      <c r="H81" s="82"/>
      <c r="I81" s="82"/>
      <c r="J81" s="82"/>
    </row>
  </sheetData>
  <mergeCells count="62"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5:D15"/>
    <mergeCell ref="C17:D17"/>
    <mergeCell ref="C19:D19"/>
    <mergeCell ref="C21:D21"/>
    <mergeCell ref="C26:D26"/>
    <mergeCell ref="C31:D31"/>
    <mergeCell ref="C37:D37"/>
    <mergeCell ref="C43:D43"/>
    <mergeCell ref="C45:D45"/>
    <mergeCell ref="C46:D46"/>
    <mergeCell ref="C47:D47"/>
    <mergeCell ref="C49:D49"/>
    <mergeCell ref="C51:D51"/>
    <mergeCell ref="C53:D53"/>
    <mergeCell ref="C55:D55"/>
    <mergeCell ref="C56:D56"/>
    <mergeCell ref="C57:D57"/>
    <mergeCell ref="C60:D60"/>
    <mergeCell ref="C63:D63"/>
    <mergeCell ref="C64:D64"/>
    <mergeCell ref="C65:D65"/>
    <mergeCell ref="C66:D66"/>
    <mergeCell ref="C67:D67"/>
    <mergeCell ref="C69:D69"/>
    <mergeCell ref="C71:D71"/>
    <mergeCell ref="C72:D72"/>
    <mergeCell ref="A81:J81"/>
    <mergeCell ref="C73:D73"/>
    <mergeCell ref="C74:D74"/>
    <mergeCell ref="C75:D75"/>
    <mergeCell ref="C76:D76"/>
    <mergeCell ref="H79:I79"/>
  </mergeCells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workbookViewId="0">
      <selection activeCell="A20" sqref="A20:L20"/>
    </sheetView>
  </sheetViews>
  <sheetFormatPr defaultColWidth="12.109375" defaultRowHeight="15" customHeight="1" x14ac:dyDescent="0.3"/>
  <cols>
    <col min="1" max="11" width="15.6640625" customWidth="1"/>
    <col min="12" max="12" width="14.33203125" customWidth="1"/>
    <col min="13" max="16" width="12.109375" hidden="1"/>
  </cols>
  <sheetData>
    <row r="1" spans="1:16" ht="54.75" customHeight="1" x14ac:dyDescent="0.3">
      <c r="A1" s="97" t="s">
        <v>170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6" ht="14.4" x14ac:dyDescent="0.3">
      <c r="A2" s="98" t="s">
        <v>1</v>
      </c>
      <c r="B2" s="93"/>
      <c r="C2" s="93"/>
      <c r="D2" s="103" t="str">
        <f>'Stavební rozpočet'!C2</f>
        <v>Oprava kaple Urbanice</v>
      </c>
      <c r="E2" s="104"/>
      <c r="F2" s="104"/>
      <c r="G2" s="102" t="s">
        <v>3</v>
      </c>
      <c r="H2" s="102" t="str">
        <f>'Stavební rozpočet'!G2</f>
        <v xml:space="preserve"> </v>
      </c>
      <c r="I2" s="102" t="s">
        <v>5</v>
      </c>
      <c r="J2" s="102" t="str">
        <f>'Stavební rozpočet'!I2</f>
        <v> </v>
      </c>
      <c r="K2" s="93"/>
      <c r="L2" s="112"/>
    </row>
    <row r="3" spans="1:16" ht="15" customHeight="1" x14ac:dyDescent="0.3">
      <c r="A3" s="99"/>
      <c r="B3" s="82"/>
      <c r="C3" s="82"/>
      <c r="D3" s="105"/>
      <c r="E3" s="105"/>
      <c r="F3" s="105"/>
      <c r="G3" s="82"/>
      <c r="H3" s="82"/>
      <c r="I3" s="82"/>
      <c r="J3" s="82"/>
      <c r="K3" s="82"/>
      <c r="L3" s="113"/>
    </row>
    <row r="4" spans="1:16" ht="14.4" x14ac:dyDescent="0.3">
      <c r="A4" s="100" t="s">
        <v>7</v>
      </c>
      <c r="B4" s="82"/>
      <c r="C4" s="82"/>
      <c r="D4" s="81" t="str">
        <f>'Stavební rozpočet'!C4</f>
        <v xml:space="preserve"> </v>
      </c>
      <c r="E4" s="82"/>
      <c r="F4" s="82"/>
      <c r="G4" s="81" t="s">
        <v>8</v>
      </c>
      <c r="H4" s="81" t="str">
        <f>'Stavební rozpočet'!G4</f>
        <v xml:space="preserve"> </v>
      </c>
      <c r="I4" s="81" t="s">
        <v>9</v>
      </c>
      <c r="J4" s="81" t="str">
        <f>'Stavební rozpočet'!I4</f>
        <v> </v>
      </c>
      <c r="K4" s="82"/>
      <c r="L4" s="113"/>
    </row>
    <row r="5" spans="1:16" ht="15" customHeight="1" x14ac:dyDescent="0.3">
      <c r="A5" s="99"/>
      <c r="B5" s="82"/>
      <c r="C5" s="82"/>
      <c r="D5" s="82"/>
      <c r="E5" s="82"/>
      <c r="F5" s="82"/>
      <c r="G5" s="82"/>
      <c r="H5" s="82"/>
      <c r="I5" s="82"/>
      <c r="J5" s="82"/>
      <c r="K5" s="82"/>
      <c r="L5" s="113"/>
    </row>
    <row r="6" spans="1:16" ht="14.4" x14ac:dyDescent="0.3">
      <c r="A6" s="100" t="s">
        <v>10</v>
      </c>
      <c r="B6" s="82"/>
      <c r="C6" s="82"/>
      <c r="D6" s="81" t="str">
        <f>'Stavební rozpočet'!C6</f>
        <v xml:space="preserve"> </v>
      </c>
      <c r="E6" s="82"/>
      <c r="F6" s="82"/>
      <c r="G6" s="81" t="s">
        <v>11</v>
      </c>
      <c r="H6" s="81" t="str">
        <f>'Stavební rozpočet'!G6</f>
        <v xml:space="preserve"> </v>
      </c>
      <c r="I6" s="81" t="s">
        <v>12</v>
      </c>
      <c r="J6" s="81" t="str">
        <f>'Stavební rozpočet'!I6</f>
        <v> </v>
      </c>
      <c r="K6" s="82"/>
      <c r="L6" s="113"/>
    </row>
    <row r="7" spans="1:16" ht="15" customHeight="1" x14ac:dyDescent="0.3">
      <c r="A7" s="99"/>
      <c r="B7" s="82"/>
      <c r="C7" s="82"/>
      <c r="D7" s="82"/>
      <c r="E7" s="82"/>
      <c r="F7" s="82"/>
      <c r="G7" s="82"/>
      <c r="H7" s="82"/>
      <c r="I7" s="82"/>
      <c r="J7" s="82"/>
      <c r="K7" s="82"/>
      <c r="L7" s="113"/>
    </row>
    <row r="8" spans="1:16" ht="14.4" x14ac:dyDescent="0.3">
      <c r="A8" s="100" t="s">
        <v>13</v>
      </c>
      <c r="B8" s="82"/>
      <c r="C8" s="82"/>
      <c r="D8" s="81" t="str">
        <f>'Stavební rozpočet'!C8</f>
        <v xml:space="preserve"> </v>
      </c>
      <c r="E8" s="82"/>
      <c r="F8" s="82"/>
      <c r="G8" s="81" t="s">
        <v>14</v>
      </c>
      <c r="H8" s="81" t="str">
        <f>'Stavební rozpočet'!G8</f>
        <v>15.02.2025</v>
      </c>
      <c r="I8" s="81" t="s">
        <v>16</v>
      </c>
      <c r="J8" s="81" t="str">
        <f>'Stavební rozpočet'!I8</f>
        <v>Martin Misař</v>
      </c>
      <c r="K8" s="82"/>
      <c r="L8" s="113"/>
    </row>
    <row r="9" spans="1:16" ht="14.4" x14ac:dyDescent="0.3">
      <c r="A9" s="101"/>
      <c r="B9" s="94"/>
      <c r="C9" s="94"/>
      <c r="D9" s="94"/>
      <c r="E9" s="94"/>
      <c r="F9" s="94"/>
      <c r="G9" s="94"/>
      <c r="H9" s="94"/>
      <c r="I9" s="94"/>
      <c r="J9" s="94"/>
      <c r="K9" s="94"/>
      <c r="L9" s="114"/>
    </row>
    <row r="10" spans="1:16" ht="14.4" x14ac:dyDescent="0.3">
      <c r="A10" s="115" t="s">
        <v>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L10" s="38" t="s">
        <v>24</v>
      </c>
    </row>
    <row r="11" spans="1:16" ht="14.4" x14ac:dyDescent="0.3">
      <c r="A11" s="108" t="s">
        <v>20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87"/>
      <c r="L11" s="39" t="s">
        <v>32</v>
      </c>
    </row>
    <row r="12" spans="1:16" ht="14.4" x14ac:dyDescent="0.3">
      <c r="A12" s="110" t="s">
        <v>46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40">
        <f>'Stavební rozpočet'!J12</f>
        <v>0</v>
      </c>
      <c r="M12" s="41" t="s">
        <v>171</v>
      </c>
      <c r="N12" s="22">
        <f t="shared" ref="N12:N17" si="0">IF(M12="F",0,L12)</f>
        <v>0</v>
      </c>
      <c r="O12" s="3" t="s">
        <v>11</v>
      </c>
      <c r="P12" s="22">
        <f t="shared" ref="P12:P17" si="1">IF(M12="T",0,L12)</f>
        <v>0</v>
      </c>
    </row>
    <row r="13" spans="1:16" ht="14.4" x14ac:dyDescent="0.3">
      <c r="A13" s="99" t="s">
        <v>94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42">
        <f>'Stavební rozpočet'!J46</f>
        <v>0</v>
      </c>
      <c r="M13" s="41" t="s">
        <v>171</v>
      </c>
      <c r="N13" s="22">
        <f t="shared" si="0"/>
        <v>0</v>
      </c>
      <c r="O13" s="3" t="s">
        <v>11</v>
      </c>
      <c r="P13" s="22">
        <f t="shared" si="1"/>
        <v>0</v>
      </c>
    </row>
    <row r="14" spans="1:16" ht="14.4" x14ac:dyDescent="0.3">
      <c r="A14" s="99" t="s">
        <v>115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42">
        <f>'Stavební rozpočet'!J56</f>
        <v>0</v>
      </c>
      <c r="M14" s="41" t="s">
        <v>171</v>
      </c>
      <c r="N14" s="22">
        <f t="shared" si="0"/>
        <v>0</v>
      </c>
      <c r="O14" s="3" t="s">
        <v>11</v>
      </c>
      <c r="P14" s="22">
        <f t="shared" si="1"/>
        <v>0</v>
      </c>
    </row>
    <row r="15" spans="1:16" ht="14.4" x14ac:dyDescent="0.3">
      <c r="A15" s="99" t="s">
        <v>139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42">
        <f>'Stavební rozpočet'!J66</f>
        <v>0</v>
      </c>
      <c r="M15" s="41" t="s">
        <v>171</v>
      </c>
      <c r="N15" s="22">
        <f t="shared" si="0"/>
        <v>0</v>
      </c>
      <c r="O15" s="3" t="s">
        <v>11</v>
      </c>
      <c r="P15" s="22">
        <f t="shared" si="1"/>
        <v>0</v>
      </c>
    </row>
    <row r="16" spans="1:16" ht="14.4" x14ac:dyDescent="0.3">
      <c r="A16" s="99" t="s">
        <v>151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42">
        <f>'Stavební rozpočet'!J72</f>
        <v>0</v>
      </c>
      <c r="M16" s="41" t="s">
        <v>171</v>
      </c>
      <c r="N16" s="22">
        <f t="shared" si="0"/>
        <v>0</v>
      </c>
      <c r="O16" s="3" t="s">
        <v>11</v>
      </c>
      <c r="P16" s="22">
        <f t="shared" si="1"/>
        <v>0</v>
      </c>
    </row>
    <row r="17" spans="1:16" ht="14.4" x14ac:dyDescent="0.3">
      <c r="A17" s="106" t="s">
        <v>160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45">
        <f>'Stavební rozpočet'!J75</f>
        <v>0</v>
      </c>
      <c r="M17" s="41" t="s">
        <v>171</v>
      </c>
      <c r="N17" s="22">
        <f t="shared" si="0"/>
        <v>0</v>
      </c>
      <c r="O17" s="3" t="s">
        <v>11</v>
      </c>
      <c r="P17" s="22">
        <f t="shared" si="1"/>
        <v>0</v>
      </c>
    </row>
    <row r="18" spans="1:16" ht="14.4" x14ac:dyDescent="0.3">
      <c r="J18" s="85" t="s">
        <v>168</v>
      </c>
      <c r="K18" s="85"/>
      <c r="L18" s="36">
        <f>SUM(N12:N17)</f>
        <v>0</v>
      </c>
    </row>
    <row r="19" spans="1:16" ht="14.4" x14ac:dyDescent="0.3">
      <c r="A19" s="37" t="s">
        <v>169</v>
      </c>
    </row>
    <row r="20" spans="1:16" ht="12.75" customHeight="1" x14ac:dyDescent="0.3">
      <c r="A20" s="81" t="s">
        <v>11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</sheetData>
  <mergeCells count="35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J2:L3"/>
    <mergeCell ref="J4:L5"/>
    <mergeCell ref="J6:L7"/>
    <mergeCell ref="J8:L9"/>
    <mergeCell ref="A10:K10"/>
    <mergeCell ref="H8:H9"/>
    <mergeCell ref="I2:I3"/>
    <mergeCell ref="I4:I5"/>
    <mergeCell ref="I6:I7"/>
    <mergeCell ref="I8:I9"/>
    <mergeCell ref="A16:K16"/>
    <mergeCell ref="A17:K17"/>
    <mergeCell ref="J18:K18"/>
    <mergeCell ref="A20:L20"/>
    <mergeCell ref="A11:K11"/>
    <mergeCell ref="A12:K12"/>
    <mergeCell ref="A13:K13"/>
    <mergeCell ref="A14:K14"/>
    <mergeCell ref="A15:K15"/>
  </mergeCells>
  <pageMargins left="0.393999993801117" right="0.393999993801117" top="0.59100002050399802" bottom="0.591000020503998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workbookViewId="0">
      <selection activeCell="A80" sqref="A80:G80"/>
    </sheetView>
  </sheetViews>
  <sheetFormatPr defaultColWidth="12.109375" defaultRowHeight="15" customHeight="1" x14ac:dyDescent="0.3"/>
  <cols>
    <col min="1" max="2" width="9.109375" customWidth="1"/>
    <col min="3" max="3" width="14.33203125" customWidth="1"/>
    <col min="4" max="4" width="42.88671875" customWidth="1"/>
    <col min="5" max="5" width="96.6640625" customWidth="1"/>
    <col min="6" max="6" width="24.109375" customWidth="1"/>
    <col min="7" max="7" width="15.6640625" customWidth="1"/>
    <col min="8" max="8" width="20" customWidth="1"/>
  </cols>
  <sheetData>
    <row r="1" spans="1:8" ht="54.75" customHeight="1" x14ac:dyDescent="0.3">
      <c r="A1" s="97" t="s">
        <v>172</v>
      </c>
      <c r="B1" s="97"/>
      <c r="C1" s="97"/>
      <c r="D1" s="97"/>
      <c r="E1" s="97"/>
      <c r="F1" s="97"/>
      <c r="G1" s="97"/>
      <c r="H1" s="97"/>
    </row>
    <row r="2" spans="1:8" ht="14.4" x14ac:dyDescent="0.3">
      <c r="A2" s="98" t="s">
        <v>1</v>
      </c>
      <c r="B2" s="93"/>
      <c r="C2" s="103" t="str">
        <f>'Stavební rozpočet'!C2</f>
        <v>Oprava kaple Urbanice</v>
      </c>
      <c r="D2" s="104"/>
      <c r="E2" s="102" t="s">
        <v>5</v>
      </c>
      <c r="F2" s="102" t="str">
        <f>'Stavební rozpočet'!I2</f>
        <v> </v>
      </c>
      <c r="G2" s="93"/>
      <c r="H2" s="112"/>
    </row>
    <row r="3" spans="1:8" ht="15" customHeight="1" x14ac:dyDescent="0.3">
      <c r="A3" s="99"/>
      <c r="B3" s="82"/>
      <c r="C3" s="105"/>
      <c r="D3" s="105"/>
      <c r="E3" s="82"/>
      <c r="F3" s="82"/>
      <c r="G3" s="82"/>
      <c r="H3" s="113"/>
    </row>
    <row r="4" spans="1:8" ht="14.4" x14ac:dyDescent="0.3">
      <c r="A4" s="100" t="s">
        <v>7</v>
      </c>
      <c r="B4" s="82"/>
      <c r="C4" s="81" t="str">
        <f>'Stavební rozpočet'!C4</f>
        <v xml:space="preserve"> </v>
      </c>
      <c r="D4" s="82"/>
      <c r="E4" s="81" t="s">
        <v>9</v>
      </c>
      <c r="F4" s="81" t="str">
        <f>'Stavební rozpočet'!I4</f>
        <v> </v>
      </c>
      <c r="G4" s="82"/>
      <c r="H4" s="113"/>
    </row>
    <row r="5" spans="1:8" ht="15" customHeight="1" x14ac:dyDescent="0.3">
      <c r="A5" s="99"/>
      <c r="B5" s="82"/>
      <c r="C5" s="82"/>
      <c r="D5" s="82"/>
      <c r="E5" s="82"/>
      <c r="F5" s="82"/>
      <c r="G5" s="82"/>
      <c r="H5" s="113"/>
    </row>
    <row r="6" spans="1:8" ht="14.4" x14ac:dyDescent="0.3">
      <c r="A6" s="100" t="s">
        <v>10</v>
      </c>
      <c r="B6" s="82"/>
      <c r="C6" s="81" t="str">
        <f>'Stavební rozpočet'!C6</f>
        <v xml:space="preserve"> </v>
      </c>
      <c r="D6" s="82"/>
      <c r="E6" s="81" t="s">
        <v>12</v>
      </c>
      <c r="F6" s="81" t="str">
        <f>'Stavební rozpočet'!I6</f>
        <v> </v>
      </c>
      <c r="G6" s="82"/>
      <c r="H6" s="113"/>
    </row>
    <row r="7" spans="1:8" ht="15" customHeight="1" x14ac:dyDescent="0.3">
      <c r="A7" s="99"/>
      <c r="B7" s="82"/>
      <c r="C7" s="82"/>
      <c r="D7" s="82"/>
      <c r="E7" s="82"/>
      <c r="F7" s="82"/>
      <c r="G7" s="82"/>
      <c r="H7" s="113"/>
    </row>
    <row r="8" spans="1:8" ht="14.4" x14ac:dyDescent="0.3">
      <c r="A8" s="100" t="s">
        <v>16</v>
      </c>
      <c r="B8" s="82"/>
      <c r="C8" s="81" t="str">
        <f>'Stavební rozpočet'!I8</f>
        <v>Martin Misař</v>
      </c>
      <c r="D8" s="82"/>
      <c r="E8" s="81" t="s">
        <v>14</v>
      </c>
      <c r="F8" s="81" t="str">
        <f>'Stavební rozpočet'!G8</f>
        <v>15.02.2025</v>
      </c>
      <c r="G8" s="82"/>
      <c r="H8" s="113"/>
    </row>
    <row r="9" spans="1:8" ht="14.4" x14ac:dyDescent="0.3">
      <c r="A9" s="101"/>
      <c r="B9" s="94"/>
      <c r="C9" s="94"/>
      <c r="D9" s="94"/>
      <c r="E9" s="94"/>
      <c r="F9" s="94"/>
      <c r="G9" s="94"/>
      <c r="H9" s="114"/>
    </row>
    <row r="10" spans="1:8" ht="14.4" x14ac:dyDescent="0.3">
      <c r="A10" s="46" t="s">
        <v>18</v>
      </c>
      <c r="B10" s="47" t="s">
        <v>173</v>
      </c>
      <c r="C10" s="47" t="s">
        <v>19</v>
      </c>
      <c r="D10" s="120" t="s">
        <v>20</v>
      </c>
      <c r="E10" s="121"/>
      <c r="F10" s="47" t="s">
        <v>21</v>
      </c>
      <c r="G10" s="48" t="s">
        <v>22</v>
      </c>
      <c r="H10" s="49" t="s">
        <v>174</v>
      </c>
    </row>
    <row r="11" spans="1:8" ht="14.4" x14ac:dyDescent="0.3">
      <c r="A11" s="50" t="s">
        <v>11</v>
      </c>
      <c r="B11" s="18" t="s">
        <v>11</v>
      </c>
      <c r="C11" s="18" t="s">
        <v>45</v>
      </c>
      <c r="D11" s="92" t="s">
        <v>46</v>
      </c>
      <c r="E11" s="92"/>
      <c r="F11" s="18" t="s">
        <v>11</v>
      </c>
      <c r="G11" s="51" t="s">
        <v>11</v>
      </c>
      <c r="H11" s="21" t="s">
        <v>11</v>
      </c>
    </row>
    <row r="12" spans="1:8" ht="14.4" x14ac:dyDescent="0.3">
      <c r="A12" s="2" t="s">
        <v>47</v>
      </c>
      <c r="B12" s="3" t="s">
        <v>11</v>
      </c>
      <c r="C12" s="3" t="s">
        <v>48</v>
      </c>
      <c r="D12" s="82" t="s">
        <v>49</v>
      </c>
      <c r="E12" s="82"/>
      <c r="F12" s="3" t="s">
        <v>50</v>
      </c>
      <c r="G12" s="22">
        <v>5.8860000000000001</v>
      </c>
      <c r="H12" s="42">
        <v>0</v>
      </c>
    </row>
    <row r="13" spans="1:8" ht="14.4" x14ac:dyDescent="0.3">
      <c r="A13" s="2" t="s">
        <v>11</v>
      </c>
      <c r="B13" s="3" t="s">
        <v>11</v>
      </c>
      <c r="C13" s="3" t="s">
        <v>11</v>
      </c>
      <c r="D13" s="52" t="s">
        <v>54</v>
      </c>
      <c r="E13" s="118" t="s">
        <v>55</v>
      </c>
      <c r="F13" s="118"/>
      <c r="G13" s="53">
        <v>5.8860000000000001</v>
      </c>
      <c r="H13" s="23" t="s">
        <v>11</v>
      </c>
    </row>
    <row r="14" spans="1:8" ht="14.4" x14ac:dyDescent="0.3">
      <c r="A14" s="2" t="s">
        <v>56</v>
      </c>
      <c r="B14" s="3" t="s">
        <v>11</v>
      </c>
      <c r="C14" s="3" t="s">
        <v>57</v>
      </c>
      <c r="D14" s="82" t="s">
        <v>58</v>
      </c>
      <c r="E14" s="82"/>
      <c r="F14" s="3" t="s">
        <v>50</v>
      </c>
      <c r="G14" s="22">
        <v>5.8860000000000001</v>
      </c>
      <c r="H14" s="42">
        <v>0</v>
      </c>
    </row>
    <row r="15" spans="1:8" ht="14.4" x14ac:dyDescent="0.3">
      <c r="A15" s="2" t="s">
        <v>11</v>
      </c>
      <c r="B15" s="3" t="s">
        <v>11</v>
      </c>
      <c r="C15" s="3" t="s">
        <v>11</v>
      </c>
      <c r="D15" s="52" t="s">
        <v>54</v>
      </c>
      <c r="E15" s="118" t="s">
        <v>55</v>
      </c>
      <c r="F15" s="118"/>
      <c r="G15" s="53">
        <v>5.8860000000000001</v>
      </c>
      <c r="H15" s="23" t="s">
        <v>11</v>
      </c>
    </row>
    <row r="16" spans="1:8" ht="14.4" x14ac:dyDescent="0.3">
      <c r="A16" s="2" t="s">
        <v>59</v>
      </c>
      <c r="B16" s="3" t="s">
        <v>11</v>
      </c>
      <c r="C16" s="3" t="s">
        <v>60</v>
      </c>
      <c r="D16" s="82" t="s">
        <v>61</v>
      </c>
      <c r="E16" s="82"/>
      <c r="F16" s="3" t="s">
        <v>50</v>
      </c>
      <c r="G16" s="22">
        <v>5.8860000000000001</v>
      </c>
      <c r="H16" s="42">
        <v>0</v>
      </c>
    </row>
    <row r="17" spans="1:8" ht="14.4" x14ac:dyDescent="0.3">
      <c r="A17" s="2" t="s">
        <v>11</v>
      </c>
      <c r="B17" s="3" t="s">
        <v>11</v>
      </c>
      <c r="C17" s="3" t="s">
        <v>11</v>
      </c>
      <c r="D17" s="52" t="s">
        <v>54</v>
      </c>
      <c r="E17" s="118" t="s">
        <v>55</v>
      </c>
      <c r="F17" s="118"/>
      <c r="G17" s="53">
        <v>5.8860000000000001</v>
      </c>
      <c r="H17" s="23" t="s">
        <v>11</v>
      </c>
    </row>
    <row r="18" spans="1:8" ht="14.4" x14ac:dyDescent="0.3">
      <c r="A18" s="2" t="s">
        <v>62</v>
      </c>
      <c r="B18" s="3" t="s">
        <v>11</v>
      </c>
      <c r="C18" s="3" t="s">
        <v>63</v>
      </c>
      <c r="D18" s="82" t="s">
        <v>64</v>
      </c>
      <c r="E18" s="82"/>
      <c r="F18" s="3" t="s">
        <v>50</v>
      </c>
      <c r="G18" s="22">
        <v>5.8860000000000001</v>
      </c>
      <c r="H18" s="42">
        <v>0</v>
      </c>
    </row>
    <row r="19" spans="1:8" ht="14.4" x14ac:dyDescent="0.3">
      <c r="A19" s="2" t="s">
        <v>11</v>
      </c>
      <c r="B19" s="3" t="s">
        <v>11</v>
      </c>
      <c r="C19" s="3" t="s">
        <v>11</v>
      </c>
      <c r="D19" s="52" t="s">
        <v>54</v>
      </c>
      <c r="E19" s="118" t="s">
        <v>55</v>
      </c>
      <c r="F19" s="118"/>
      <c r="G19" s="53">
        <v>5.8860000000000001</v>
      </c>
      <c r="H19" s="23" t="s">
        <v>11</v>
      </c>
    </row>
    <row r="20" spans="1:8" ht="14.4" x14ac:dyDescent="0.3">
      <c r="A20" s="2" t="s">
        <v>65</v>
      </c>
      <c r="B20" s="3" t="s">
        <v>11</v>
      </c>
      <c r="C20" s="3" t="s">
        <v>66</v>
      </c>
      <c r="D20" s="82" t="s">
        <v>67</v>
      </c>
      <c r="E20" s="82"/>
      <c r="F20" s="3" t="s">
        <v>50</v>
      </c>
      <c r="G20" s="22">
        <v>33.585999999999999</v>
      </c>
      <c r="H20" s="42">
        <v>0</v>
      </c>
    </row>
    <row r="21" spans="1:8" ht="14.4" x14ac:dyDescent="0.3">
      <c r="A21" s="2" t="s">
        <v>11</v>
      </c>
      <c r="B21" s="3" t="s">
        <v>11</v>
      </c>
      <c r="C21" s="3" t="s">
        <v>11</v>
      </c>
      <c r="D21" s="52" t="s">
        <v>68</v>
      </c>
      <c r="E21" s="118" t="s">
        <v>69</v>
      </c>
      <c r="F21" s="118"/>
      <c r="G21" s="53">
        <v>12.282</v>
      </c>
      <c r="H21" s="23" t="s">
        <v>11</v>
      </c>
    </row>
    <row r="22" spans="1:8" ht="14.4" x14ac:dyDescent="0.3">
      <c r="A22" s="2" t="s">
        <v>11</v>
      </c>
      <c r="B22" s="3" t="s">
        <v>11</v>
      </c>
      <c r="C22" s="3" t="s">
        <v>11</v>
      </c>
      <c r="D22" s="52" t="s">
        <v>70</v>
      </c>
      <c r="E22" s="118" t="s">
        <v>69</v>
      </c>
      <c r="F22" s="118"/>
      <c r="G22" s="53">
        <v>12.88</v>
      </c>
      <c r="H22" s="23" t="s">
        <v>11</v>
      </c>
    </row>
    <row r="23" spans="1:8" ht="14.4" x14ac:dyDescent="0.3">
      <c r="A23" s="2" t="s">
        <v>11</v>
      </c>
      <c r="B23" s="3" t="s">
        <v>11</v>
      </c>
      <c r="C23" s="3" t="s">
        <v>11</v>
      </c>
      <c r="D23" s="52" t="s">
        <v>71</v>
      </c>
      <c r="E23" s="118" t="s">
        <v>72</v>
      </c>
      <c r="F23" s="118"/>
      <c r="G23" s="53">
        <v>3.5840000000000001</v>
      </c>
      <c r="H23" s="23" t="s">
        <v>11</v>
      </c>
    </row>
    <row r="24" spans="1:8" ht="14.4" x14ac:dyDescent="0.3">
      <c r="A24" s="2" t="s">
        <v>11</v>
      </c>
      <c r="B24" s="3" t="s">
        <v>11</v>
      </c>
      <c r="C24" s="3" t="s">
        <v>11</v>
      </c>
      <c r="D24" s="52" t="s">
        <v>73</v>
      </c>
      <c r="E24" s="118" t="s">
        <v>74</v>
      </c>
      <c r="F24" s="118"/>
      <c r="G24" s="53">
        <v>4.84</v>
      </c>
      <c r="H24" s="23" t="s">
        <v>11</v>
      </c>
    </row>
    <row r="25" spans="1:8" ht="14.4" x14ac:dyDescent="0.3">
      <c r="A25" s="2" t="s">
        <v>75</v>
      </c>
      <c r="B25" s="3" t="s">
        <v>11</v>
      </c>
      <c r="C25" s="3" t="s">
        <v>76</v>
      </c>
      <c r="D25" s="82" t="s">
        <v>77</v>
      </c>
      <c r="E25" s="82"/>
      <c r="F25" s="3" t="s">
        <v>50</v>
      </c>
      <c r="G25" s="22">
        <v>33.585999999999999</v>
      </c>
      <c r="H25" s="42">
        <v>0</v>
      </c>
    </row>
    <row r="26" spans="1:8" ht="14.4" x14ac:dyDescent="0.3">
      <c r="A26" s="2" t="s">
        <v>11</v>
      </c>
      <c r="B26" s="3" t="s">
        <v>11</v>
      </c>
      <c r="C26" s="3" t="s">
        <v>11</v>
      </c>
      <c r="D26" s="52" t="s">
        <v>68</v>
      </c>
      <c r="E26" s="118" t="s">
        <v>69</v>
      </c>
      <c r="F26" s="118"/>
      <c r="G26" s="53">
        <v>12.282</v>
      </c>
      <c r="H26" s="23" t="s">
        <v>11</v>
      </c>
    </row>
    <row r="27" spans="1:8" ht="14.4" x14ac:dyDescent="0.3">
      <c r="A27" s="2" t="s">
        <v>11</v>
      </c>
      <c r="B27" s="3" t="s">
        <v>11</v>
      </c>
      <c r="C27" s="3" t="s">
        <v>11</v>
      </c>
      <c r="D27" s="52" t="s">
        <v>70</v>
      </c>
      <c r="E27" s="118" t="s">
        <v>69</v>
      </c>
      <c r="F27" s="118"/>
      <c r="G27" s="53">
        <v>12.88</v>
      </c>
      <c r="H27" s="23" t="s">
        <v>11</v>
      </c>
    </row>
    <row r="28" spans="1:8" ht="14.4" x14ac:dyDescent="0.3">
      <c r="A28" s="2" t="s">
        <v>11</v>
      </c>
      <c r="B28" s="3" t="s">
        <v>11</v>
      </c>
      <c r="C28" s="3" t="s">
        <v>11</v>
      </c>
      <c r="D28" s="52" t="s">
        <v>71</v>
      </c>
      <c r="E28" s="118" t="s">
        <v>72</v>
      </c>
      <c r="F28" s="118"/>
      <c r="G28" s="53">
        <v>3.5840000000000001</v>
      </c>
      <c r="H28" s="23" t="s">
        <v>11</v>
      </c>
    </row>
    <row r="29" spans="1:8" ht="14.4" x14ac:dyDescent="0.3">
      <c r="A29" s="2" t="s">
        <v>11</v>
      </c>
      <c r="B29" s="3" t="s">
        <v>11</v>
      </c>
      <c r="C29" s="3" t="s">
        <v>11</v>
      </c>
      <c r="D29" s="52" t="s">
        <v>73</v>
      </c>
      <c r="E29" s="118" t="s">
        <v>74</v>
      </c>
      <c r="F29" s="118"/>
      <c r="G29" s="53">
        <v>4.84</v>
      </c>
      <c r="H29" s="23" t="s">
        <v>11</v>
      </c>
    </row>
    <row r="30" spans="1:8" ht="14.4" x14ac:dyDescent="0.3">
      <c r="A30" s="2" t="s">
        <v>78</v>
      </c>
      <c r="B30" s="3" t="s">
        <v>11</v>
      </c>
      <c r="C30" s="3" t="s">
        <v>79</v>
      </c>
      <c r="D30" s="82" t="s">
        <v>80</v>
      </c>
      <c r="E30" s="82"/>
      <c r="F30" s="3" t="s">
        <v>50</v>
      </c>
      <c r="G30" s="22">
        <v>39.472000000000001</v>
      </c>
      <c r="H30" s="42">
        <v>0</v>
      </c>
    </row>
    <row r="31" spans="1:8" ht="14.4" x14ac:dyDescent="0.3">
      <c r="A31" s="2" t="s">
        <v>11</v>
      </c>
      <c r="B31" s="3" t="s">
        <v>11</v>
      </c>
      <c r="C31" s="3" t="s">
        <v>11</v>
      </c>
      <c r="D31" s="52" t="s">
        <v>54</v>
      </c>
      <c r="E31" s="118" t="s">
        <v>55</v>
      </c>
      <c r="F31" s="118"/>
      <c r="G31" s="53">
        <v>5.8860000000000001</v>
      </c>
      <c r="H31" s="23" t="s">
        <v>11</v>
      </c>
    </row>
    <row r="32" spans="1:8" ht="14.4" x14ac:dyDescent="0.3">
      <c r="A32" s="2" t="s">
        <v>11</v>
      </c>
      <c r="B32" s="3" t="s">
        <v>11</v>
      </c>
      <c r="C32" s="3" t="s">
        <v>11</v>
      </c>
      <c r="D32" s="52" t="s">
        <v>68</v>
      </c>
      <c r="E32" s="118" t="s">
        <v>69</v>
      </c>
      <c r="F32" s="118"/>
      <c r="G32" s="53">
        <v>12.282</v>
      </c>
      <c r="H32" s="23" t="s">
        <v>11</v>
      </c>
    </row>
    <row r="33" spans="1:8" ht="14.4" x14ac:dyDescent="0.3">
      <c r="A33" s="2" t="s">
        <v>11</v>
      </c>
      <c r="B33" s="3" t="s">
        <v>11</v>
      </c>
      <c r="C33" s="3" t="s">
        <v>11</v>
      </c>
      <c r="D33" s="52" t="s">
        <v>70</v>
      </c>
      <c r="E33" s="118" t="s">
        <v>69</v>
      </c>
      <c r="F33" s="118"/>
      <c r="G33" s="53">
        <v>12.88</v>
      </c>
      <c r="H33" s="23" t="s">
        <v>11</v>
      </c>
    </row>
    <row r="34" spans="1:8" ht="14.4" x14ac:dyDescent="0.3">
      <c r="A34" s="2" t="s">
        <v>11</v>
      </c>
      <c r="B34" s="3" t="s">
        <v>11</v>
      </c>
      <c r="C34" s="3" t="s">
        <v>11</v>
      </c>
      <c r="D34" s="52" t="s">
        <v>71</v>
      </c>
      <c r="E34" s="118" t="s">
        <v>72</v>
      </c>
      <c r="F34" s="118"/>
      <c r="G34" s="53">
        <v>3.5840000000000001</v>
      </c>
      <c r="H34" s="23" t="s">
        <v>11</v>
      </c>
    </row>
    <row r="35" spans="1:8" ht="14.4" x14ac:dyDescent="0.3">
      <c r="A35" s="2" t="s">
        <v>11</v>
      </c>
      <c r="B35" s="3" t="s">
        <v>11</v>
      </c>
      <c r="C35" s="3" t="s">
        <v>11</v>
      </c>
      <c r="D35" s="52" t="s">
        <v>73</v>
      </c>
      <c r="E35" s="118" t="s">
        <v>74</v>
      </c>
      <c r="F35" s="118"/>
      <c r="G35" s="53">
        <v>4.84</v>
      </c>
      <c r="H35" s="23" t="s">
        <v>11</v>
      </c>
    </row>
    <row r="36" spans="1:8" ht="14.4" x14ac:dyDescent="0.3">
      <c r="A36" s="2" t="s">
        <v>81</v>
      </c>
      <c r="B36" s="3" t="s">
        <v>11</v>
      </c>
      <c r="C36" s="3" t="s">
        <v>82</v>
      </c>
      <c r="D36" s="82" t="s">
        <v>83</v>
      </c>
      <c r="E36" s="82"/>
      <c r="F36" s="3" t="s">
        <v>50</v>
      </c>
      <c r="G36" s="22">
        <v>39.472000000000001</v>
      </c>
      <c r="H36" s="42">
        <v>0</v>
      </c>
    </row>
    <row r="37" spans="1:8" ht="14.4" x14ac:dyDescent="0.3">
      <c r="A37" s="2" t="s">
        <v>11</v>
      </c>
      <c r="B37" s="3" t="s">
        <v>11</v>
      </c>
      <c r="C37" s="3" t="s">
        <v>11</v>
      </c>
      <c r="D37" s="52" t="s">
        <v>54</v>
      </c>
      <c r="E37" s="118" t="s">
        <v>55</v>
      </c>
      <c r="F37" s="118"/>
      <c r="G37" s="53">
        <v>5.8860000000000001</v>
      </c>
      <c r="H37" s="23" t="s">
        <v>11</v>
      </c>
    </row>
    <row r="38" spans="1:8" ht="14.4" x14ac:dyDescent="0.3">
      <c r="A38" s="2" t="s">
        <v>11</v>
      </c>
      <c r="B38" s="3" t="s">
        <v>11</v>
      </c>
      <c r="C38" s="3" t="s">
        <v>11</v>
      </c>
      <c r="D38" s="52" t="s">
        <v>68</v>
      </c>
      <c r="E38" s="118" t="s">
        <v>69</v>
      </c>
      <c r="F38" s="118"/>
      <c r="G38" s="53">
        <v>12.282</v>
      </c>
      <c r="H38" s="23" t="s">
        <v>11</v>
      </c>
    </row>
    <row r="39" spans="1:8" ht="14.4" x14ac:dyDescent="0.3">
      <c r="A39" s="2" t="s">
        <v>11</v>
      </c>
      <c r="B39" s="3" t="s">
        <v>11</v>
      </c>
      <c r="C39" s="3" t="s">
        <v>11</v>
      </c>
      <c r="D39" s="52" t="s">
        <v>70</v>
      </c>
      <c r="E39" s="118" t="s">
        <v>69</v>
      </c>
      <c r="F39" s="118"/>
      <c r="G39" s="53">
        <v>12.88</v>
      </c>
      <c r="H39" s="23" t="s">
        <v>11</v>
      </c>
    </row>
    <row r="40" spans="1:8" ht="14.4" x14ac:dyDescent="0.3">
      <c r="A40" s="2" t="s">
        <v>11</v>
      </c>
      <c r="B40" s="3" t="s">
        <v>11</v>
      </c>
      <c r="C40" s="3" t="s">
        <v>11</v>
      </c>
      <c r="D40" s="52" t="s">
        <v>71</v>
      </c>
      <c r="E40" s="118" t="s">
        <v>72</v>
      </c>
      <c r="F40" s="118"/>
      <c r="G40" s="53">
        <v>3.5840000000000001</v>
      </c>
      <c r="H40" s="23" t="s">
        <v>11</v>
      </c>
    </row>
    <row r="41" spans="1:8" ht="14.4" x14ac:dyDescent="0.3">
      <c r="A41" s="2" t="s">
        <v>11</v>
      </c>
      <c r="B41" s="3" t="s">
        <v>11</v>
      </c>
      <c r="C41" s="3" t="s">
        <v>11</v>
      </c>
      <c r="D41" s="52" t="s">
        <v>73</v>
      </c>
      <c r="E41" s="118" t="s">
        <v>74</v>
      </c>
      <c r="F41" s="118"/>
      <c r="G41" s="53">
        <v>4.84</v>
      </c>
      <c r="H41" s="23" t="s">
        <v>11</v>
      </c>
    </row>
    <row r="42" spans="1:8" ht="14.4" x14ac:dyDescent="0.3">
      <c r="A42" s="2" t="s">
        <v>84</v>
      </c>
      <c r="B42" s="3" t="s">
        <v>11</v>
      </c>
      <c r="C42" s="3" t="s">
        <v>85</v>
      </c>
      <c r="D42" s="82" t="s">
        <v>86</v>
      </c>
      <c r="E42" s="82"/>
      <c r="F42" s="3" t="s">
        <v>50</v>
      </c>
      <c r="G42" s="22">
        <v>1.92</v>
      </c>
      <c r="H42" s="42">
        <v>0</v>
      </c>
    </row>
    <row r="43" spans="1:8" ht="14.4" x14ac:dyDescent="0.3">
      <c r="A43" s="2" t="s">
        <v>11</v>
      </c>
      <c r="B43" s="3" t="s">
        <v>11</v>
      </c>
      <c r="C43" s="3" t="s">
        <v>11</v>
      </c>
      <c r="D43" s="52" t="s">
        <v>87</v>
      </c>
      <c r="E43" s="118" t="s">
        <v>88</v>
      </c>
      <c r="F43" s="118"/>
      <c r="G43" s="53">
        <v>1.92</v>
      </c>
      <c r="H43" s="23" t="s">
        <v>11</v>
      </c>
    </row>
    <row r="44" spans="1:8" ht="14.4" x14ac:dyDescent="0.3">
      <c r="A44" s="2" t="s">
        <v>89</v>
      </c>
      <c r="B44" s="3" t="s">
        <v>11</v>
      </c>
      <c r="C44" s="3" t="s">
        <v>90</v>
      </c>
      <c r="D44" s="82" t="s">
        <v>91</v>
      </c>
      <c r="E44" s="82"/>
      <c r="F44" s="3" t="s">
        <v>92</v>
      </c>
      <c r="G44" s="22">
        <v>2.3068399999999998</v>
      </c>
      <c r="H44" s="42">
        <v>0</v>
      </c>
    </row>
    <row r="45" spans="1:8" ht="14.4" x14ac:dyDescent="0.3">
      <c r="A45" s="54" t="s">
        <v>11</v>
      </c>
      <c r="B45" s="29" t="s">
        <v>11</v>
      </c>
      <c r="C45" s="29" t="s">
        <v>93</v>
      </c>
      <c r="D45" s="84" t="s">
        <v>94</v>
      </c>
      <c r="E45" s="84"/>
      <c r="F45" s="29" t="s">
        <v>11</v>
      </c>
      <c r="G45" s="9" t="s">
        <v>11</v>
      </c>
      <c r="H45" s="31" t="s">
        <v>11</v>
      </c>
    </row>
    <row r="46" spans="1:8" ht="14.4" x14ac:dyDescent="0.3">
      <c r="A46" s="2" t="s">
        <v>95</v>
      </c>
      <c r="B46" s="3" t="s">
        <v>11</v>
      </c>
      <c r="C46" s="3" t="s">
        <v>96</v>
      </c>
      <c r="D46" s="82" t="s">
        <v>97</v>
      </c>
      <c r="E46" s="82"/>
      <c r="F46" s="3" t="s">
        <v>50</v>
      </c>
      <c r="G46" s="22">
        <v>11.747999999999999</v>
      </c>
      <c r="H46" s="42">
        <v>0</v>
      </c>
    </row>
    <row r="47" spans="1:8" ht="14.4" x14ac:dyDescent="0.3">
      <c r="A47" s="2" t="s">
        <v>11</v>
      </c>
      <c r="B47" s="3" t="s">
        <v>11</v>
      </c>
      <c r="C47" s="3" t="s">
        <v>11</v>
      </c>
      <c r="D47" s="52" t="s">
        <v>100</v>
      </c>
      <c r="E47" s="118" t="s">
        <v>101</v>
      </c>
      <c r="F47" s="118"/>
      <c r="G47" s="53">
        <v>11.747999999999999</v>
      </c>
      <c r="H47" s="23" t="s">
        <v>11</v>
      </c>
    </row>
    <row r="48" spans="1:8" ht="14.4" x14ac:dyDescent="0.3">
      <c r="A48" s="2" t="s">
        <v>102</v>
      </c>
      <c r="B48" s="3" t="s">
        <v>11</v>
      </c>
      <c r="C48" s="3" t="s">
        <v>103</v>
      </c>
      <c r="D48" s="82" t="s">
        <v>104</v>
      </c>
      <c r="E48" s="82"/>
      <c r="F48" s="3" t="s">
        <v>50</v>
      </c>
      <c r="G48" s="22">
        <v>11.747999999999999</v>
      </c>
      <c r="H48" s="42">
        <v>0</v>
      </c>
    </row>
    <row r="49" spans="1:8" ht="14.4" x14ac:dyDescent="0.3">
      <c r="A49" s="2" t="s">
        <v>11</v>
      </c>
      <c r="B49" s="3" t="s">
        <v>11</v>
      </c>
      <c r="C49" s="3" t="s">
        <v>11</v>
      </c>
      <c r="D49" s="52" t="s">
        <v>100</v>
      </c>
      <c r="E49" s="118" t="s">
        <v>101</v>
      </c>
      <c r="F49" s="118"/>
      <c r="G49" s="53">
        <v>11.747999999999999</v>
      </c>
      <c r="H49" s="23" t="s">
        <v>11</v>
      </c>
    </row>
    <row r="50" spans="1:8" ht="14.4" x14ac:dyDescent="0.3">
      <c r="A50" s="2" t="s">
        <v>105</v>
      </c>
      <c r="B50" s="3" t="s">
        <v>11</v>
      </c>
      <c r="C50" s="3" t="s">
        <v>106</v>
      </c>
      <c r="D50" s="82" t="s">
        <v>107</v>
      </c>
      <c r="E50" s="82"/>
      <c r="F50" s="3" t="s">
        <v>50</v>
      </c>
      <c r="G50" s="22">
        <v>11.747999999999999</v>
      </c>
      <c r="H50" s="42">
        <v>0</v>
      </c>
    </row>
    <row r="51" spans="1:8" ht="14.4" x14ac:dyDescent="0.3">
      <c r="A51" s="2" t="s">
        <v>11</v>
      </c>
      <c r="B51" s="3" t="s">
        <v>11</v>
      </c>
      <c r="C51" s="3" t="s">
        <v>11</v>
      </c>
      <c r="D51" s="52" t="s">
        <v>100</v>
      </c>
      <c r="E51" s="118" t="s">
        <v>101</v>
      </c>
      <c r="F51" s="118"/>
      <c r="G51" s="53">
        <v>11.747999999999999</v>
      </c>
      <c r="H51" s="23" t="s">
        <v>11</v>
      </c>
    </row>
    <row r="52" spans="1:8" ht="14.4" x14ac:dyDescent="0.3">
      <c r="A52" s="2" t="s">
        <v>108</v>
      </c>
      <c r="B52" s="3" t="s">
        <v>11</v>
      </c>
      <c r="C52" s="3" t="s">
        <v>109</v>
      </c>
      <c r="D52" s="82" t="s">
        <v>110</v>
      </c>
      <c r="E52" s="82"/>
      <c r="F52" s="3" t="s">
        <v>50</v>
      </c>
      <c r="G52" s="22">
        <v>11.747999999999999</v>
      </c>
      <c r="H52" s="42">
        <v>0</v>
      </c>
    </row>
    <row r="53" spans="1:8" ht="14.4" x14ac:dyDescent="0.3">
      <c r="A53" s="2" t="s">
        <v>11</v>
      </c>
      <c r="B53" s="3" t="s">
        <v>11</v>
      </c>
      <c r="C53" s="3" t="s">
        <v>11</v>
      </c>
      <c r="D53" s="52" t="s">
        <v>100</v>
      </c>
      <c r="E53" s="118" t="s">
        <v>11</v>
      </c>
      <c r="F53" s="118"/>
      <c r="G53" s="53">
        <v>11.747999999999999</v>
      </c>
      <c r="H53" s="23" t="s">
        <v>11</v>
      </c>
    </row>
    <row r="54" spans="1:8" ht="14.4" x14ac:dyDescent="0.3">
      <c r="A54" s="2" t="s">
        <v>111</v>
      </c>
      <c r="B54" s="3" t="s">
        <v>11</v>
      </c>
      <c r="C54" s="3" t="s">
        <v>112</v>
      </c>
      <c r="D54" s="82" t="s">
        <v>113</v>
      </c>
      <c r="E54" s="82"/>
      <c r="F54" s="3" t="s">
        <v>92</v>
      </c>
      <c r="G54" s="22">
        <v>0.93949000000000005</v>
      </c>
      <c r="H54" s="42">
        <v>0</v>
      </c>
    </row>
    <row r="55" spans="1:8" ht="14.4" x14ac:dyDescent="0.3">
      <c r="A55" s="54" t="s">
        <v>11</v>
      </c>
      <c r="B55" s="29" t="s">
        <v>11</v>
      </c>
      <c r="C55" s="29" t="s">
        <v>114</v>
      </c>
      <c r="D55" s="84" t="s">
        <v>115</v>
      </c>
      <c r="E55" s="84"/>
      <c r="F55" s="29" t="s">
        <v>11</v>
      </c>
      <c r="G55" s="9" t="s">
        <v>11</v>
      </c>
      <c r="H55" s="31" t="s">
        <v>11</v>
      </c>
    </row>
    <row r="56" spans="1:8" ht="14.4" x14ac:dyDescent="0.3">
      <c r="A56" s="2" t="s">
        <v>116</v>
      </c>
      <c r="B56" s="3" t="s">
        <v>11</v>
      </c>
      <c r="C56" s="3" t="s">
        <v>117</v>
      </c>
      <c r="D56" s="82" t="s">
        <v>118</v>
      </c>
      <c r="E56" s="82"/>
      <c r="F56" s="3" t="s">
        <v>50</v>
      </c>
      <c r="G56" s="22">
        <v>10.4</v>
      </c>
      <c r="H56" s="42">
        <v>0</v>
      </c>
    </row>
    <row r="57" spans="1:8" ht="14.4" x14ac:dyDescent="0.3">
      <c r="A57" s="2" t="s">
        <v>11</v>
      </c>
      <c r="B57" s="3" t="s">
        <v>11</v>
      </c>
      <c r="C57" s="3" t="s">
        <v>11</v>
      </c>
      <c r="D57" s="52" t="s">
        <v>120</v>
      </c>
      <c r="E57" s="118" t="s">
        <v>121</v>
      </c>
      <c r="F57" s="118"/>
      <c r="G57" s="53">
        <v>6</v>
      </c>
      <c r="H57" s="23" t="s">
        <v>11</v>
      </c>
    </row>
    <row r="58" spans="1:8" ht="14.4" x14ac:dyDescent="0.3">
      <c r="A58" s="2" t="s">
        <v>11</v>
      </c>
      <c r="B58" s="3" t="s">
        <v>11</v>
      </c>
      <c r="C58" s="3" t="s">
        <v>11</v>
      </c>
      <c r="D58" s="52" t="s">
        <v>122</v>
      </c>
      <c r="E58" s="118" t="s">
        <v>123</v>
      </c>
      <c r="F58" s="118"/>
      <c r="G58" s="53">
        <v>4.4000000000000004</v>
      </c>
      <c r="H58" s="23" t="s">
        <v>11</v>
      </c>
    </row>
    <row r="59" spans="1:8" ht="14.4" x14ac:dyDescent="0.3">
      <c r="A59" s="2" t="s">
        <v>124</v>
      </c>
      <c r="B59" s="3" t="s">
        <v>11</v>
      </c>
      <c r="C59" s="3" t="s">
        <v>125</v>
      </c>
      <c r="D59" s="82" t="s">
        <v>126</v>
      </c>
      <c r="E59" s="82"/>
      <c r="F59" s="3" t="s">
        <v>50</v>
      </c>
      <c r="G59" s="22">
        <v>10.4</v>
      </c>
      <c r="H59" s="42">
        <v>0</v>
      </c>
    </row>
    <row r="60" spans="1:8" ht="14.4" x14ac:dyDescent="0.3">
      <c r="A60" s="2" t="s">
        <v>11</v>
      </c>
      <c r="B60" s="3" t="s">
        <v>11</v>
      </c>
      <c r="C60" s="3" t="s">
        <v>11</v>
      </c>
      <c r="D60" s="52" t="s">
        <v>120</v>
      </c>
      <c r="E60" s="118" t="s">
        <v>121</v>
      </c>
      <c r="F60" s="118"/>
      <c r="G60" s="53">
        <v>6</v>
      </c>
      <c r="H60" s="23" t="s">
        <v>11</v>
      </c>
    </row>
    <row r="61" spans="1:8" ht="14.4" x14ac:dyDescent="0.3">
      <c r="A61" s="2" t="s">
        <v>11</v>
      </c>
      <c r="B61" s="3" t="s">
        <v>11</v>
      </c>
      <c r="C61" s="3" t="s">
        <v>11</v>
      </c>
      <c r="D61" s="52" t="s">
        <v>122</v>
      </c>
      <c r="E61" s="118" t="s">
        <v>123</v>
      </c>
      <c r="F61" s="118"/>
      <c r="G61" s="53">
        <v>4.4000000000000004</v>
      </c>
      <c r="H61" s="23" t="s">
        <v>11</v>
      </c>
    </row>
    <row r="62" spans="1:8" ht="14.4" x14ac:dyDescent="0.3">
      <c r="A62" s="2" t="s">
        <v>127</v>
      </c>
      <c r="B62" s="3" t="s">
        <v>11</v>
      </c>
      <c r="C62" s="3" t="s">
        <v>128</v>
      </c>
      <c r="D62" s="82" t="s">
        <v>129</v>
      </c>
      <c r="E62" s="82"/>
      <c r="F62" s="3" t="s">
        <v>130</v>
      </c>
      <c r="G62" s="22">
        <v>1</v>
      </c>
      <c r="H62" s="42">
        <v>0</v>
      </c>
    </row>
    <row r="63" spans="1:8" ht="14.4" x14ac:dyDescent="0.3">
      <c r="A63" s="2" t="s">
        <v>131</v>
      </c>
      <c r="B63" s="3" t="s">
        <v>11</v>
      </c>
      <c r="C63" s="3" t="s">
        <v>132</v>
      </c>
      <c r="D63" s="82" t="s">
        <v>133</v>
      </c>
      <c r="E63" s="82"/>
      <c r="F63" s="3" t="s">
        <v>134</v>
      </c>
      <c r="G63" s="22">
        <v>1</v>
      </c>
      <c r="H63" s="42">
        <v>0</v>
      </c>
    </row>
    <row r="64" spans="1:8" ht="14.4" x14ac:dyDescent="0.3">
      <c r="A64" s="2" t="s">
        <v>135</v>
      </c>
      <c r="B64" s="3" t="s">
        <v>11</v>
      </c>
      <c r="C64" s="3" t="s">
        <v>136</v>
      </c>
      <c r="D64" s="82" t="s">
        <v>137</v>
      </c>
      <c r="E64" s="82"/>
      <c r="F64" s="3" t="s">
        <v>134</v>
      </c>
      <c r="G64" s="22">
        <v>1</v>
      </c>
      <c r="H64" s="42">
        <v>0</v>
      </c>
    </row>
    <row r="65" spans="1:8" ht="14.4" x14ac:dyDescent="0.3">
      <c r="A65" s="54" t="s">
        <v>11</v>
      </c>
      <c r="B65" s="29" t="s">
        <v>11</v>
      </c>
      <c r="C65" s="29" t="s">
        <v>138</v>
      </c>
      <c r="D65" s="84" t="s">
        <v>139</v>
      </c>
      <c r="E65" s="84"/>
      <c r="F65" s="29" t="s">
        <v>11</v>
      </c>
      <c r="G65" s="9" t="s">
        <v>11</v>
      </c>
      <c r="H65" s="31" t="s">
        <v>11</v>
      </c>
    </row>
    <row r="66" spans="1:8" ht="14.4" x14ac:dyDescent="0.3">
      <c r="A66" s="2" t="s">
        <v>140</v>
      </c>
      <c r="B66" s="3" t="s">
        <v>11</v>
      </c>
      <c r="C66" s="3" t="s">
        <v>141</v>
      </c>
      <c r="D66" s="82" t="s">
        <v>142</v>
      </c>
      <c r="E66" s="82"/>
      <c r="F66" s="3" t="s">
        <v>50</v>
      </c>
      <c r="G66" s="22">
        <v>11.747999999999999</v>
      </c>
      <c r="H66" s="42">
        <v>0</v>
      </c>
    </row>
    <row r="67" spans="1:8" ht="14.4" x14ac:dyDescent="0.3">
      <c r="A67" s="2" t="s">
        <v>11</v>
      </c>
      <c r="B67" s="3" t="s">
        <v>11</v>
      </c>
      <c r="C67" s="3" t="s">
        <v>11</v>
      </c>
      <c r="D67" s="52" t="s">
        <v>100</v>
      </c>
      <c r="E67" s="118" t="s">
        <v>11</v>
      </c>
      <c r="F67" s="118"/>
      <c r="G67" s="53">
        <v>11.747999999999999</v>
      </c>
      <c r="H67" s="23" t="s">
        <v>11</v>
      </c>
    </row>
    <row r="68" spans="1:8" ht="14.4" x14ac:dyDescent="0.3">
      <c r="A68" s="2" t="s">
        <v>144</v>
      </c>
      <c r="B68" s="3" t="s">
        <v>11</v>
      </c>
      <c r="C68" s="3" t="s">
        <v>145</v>
      </c>
      <c r="D68" s="82" t="s">
        <v>146</v>
      </c>
      <c r="E68" s="82"/>
      <c r="F68" s="3" t="s">
        <v>50</v>
      </c>
      <c r="G68" s="22">
        <v>11.747999999999999</v>
      </c>
      <c r="H68" s="42">
        <v>0</v>
      </c>
    </row>
    <row r="69" spans="1:8" ht="14.4" x14ac:dyDescent="0.3">
      <c r="A69" s="2" t="s">
        <v>11</v>
      </c>
      <c r="B69" s="3" t="s">
        <v>11</v>
      </c>
      <c r="C69" s="3" t="s">
        <v>11</v>
      </c>
      <c r="D69" s="52" t="s">
        <v>100</v>
      </c>
      <c r="E69" s="118" t="s">
        <v>101</v>
      </c>
      <c r="F69" s="118"/>
      <c r="G69" s="53">
        <v>11.747999999999999</v>
      </c>
      <c r="H69" s="23" t="s">
        <v>11</v>
      </c>
    </row>
    <row r="70" spans="1:8" ht="14.4" x14ac:dyDescent="0.3">
      <c r="A70" s="2" t="s">
        <v>147</v>
      </c>
      <c r="B70" s="3" t="s">
        <v>11</v>
      </c>
      <c r="C70" s="3" t="s">
        <v>148</v>
      </c>
      <c r="D70" s="82" t="s">
        <v>149</v>
      </c>
      <c r="E70" s="82"/>
      <c r="F70" s="3" t="s">
        <v>92</v>
      </c>
      <c r="G70" s="22">
        <v>0</v>
      </c>
      <c r="H70" s="42">
        <v>0</v>
      </c>
    </row>
    <row r="71" spans="1:8" ht="14.4" x14ac:dyDescent="0.3">
      <c r="A71" s="54" t="s">
        <v>11</v>
      </c>
      <c r="B71" s="29" t="s">
        <v>11</v>
      </c>
      <c r="C71" s="29" t="s">
        <v>150</v>
      </c>
      <c r="D71" s="84" t="s">
        <v>151</v>
      </c>
      <c r="E71" s="84"/>
      <c r="F71" s="29" t="s">
        <v>11</v>
      </c>
      <c r="G71" s="9" t="s">
        <v>11</v>
      </c>
      <c r="H71" s="31" t="s">
        <v>11</v>
      </c>
    </row>
    <row r="72" spans="1:8" ht="14.4" x14ac:dyDescent="0.3">
      <c r="A72" s="2" t="s">
        <v>152</v>
      </c>
      <c r="B72" s="3" t="s">
        <v>11</v>
      </c>
      <c r="C72" s="3" t="s">
        <v>153</v>
      </c>
      <c r="D72" s="82" t="s">
        <v>154</v>
      </c>
      <c r="E72" s="82"/>
      <c r="F72" s="3" t="s">
        <v>130</v>
      </c>
      <c r="G72" s="22">
        <v>1</v>
      </c>
      <c r="H72" s="42">
        <v>0</v>
      </c>
    </row>
    <row r="73" spans="1:8" ht="14.4" x14ac:dyDescent="0.3">
      <c r="A73" s="2" t="s">
        <v>156</v>
      </c>
      <c r="B73" s="3" t="s">
        <v>11</v>
      </c>
      <c r="C73" s="3" t="s">
        <v>157</v>
      </c>
      <c r="D73" s="82" t="s">
        <v>158</v>
      </c>
      <c r="E73" s="82"/>
      <c r="F73" s="3" t="s">
        <v>130</v>
      </c>
      <c r="G73" s="22">
        <v>2</v>
      </c>
      <c r="H73" s="42">
        <v>0</v>
      </c>
    </row>
    <row r="74" spans="1:8" ht="14.4" x14ac:dyDescent="0.3">
      <c r="A74" s="54" t="s">
        <v>11</v>
      </c>
      <c r="B74" s="29" t="s">
        <v>11</v>
      </c>
      <c r="C74" s="29" t="s">
        <v>159</v>
      </c>
      <c r="D74" s="84" t="s">
        <v>160</v>
      </c>
      <c r="E74" s="84"/>
      <c r="F74" s="29" t="s">
        <v>11</v>
      </c>
      <c r="G74" s="9" t="s">
        <v>11</v>
      </c>
      <c r="H74" s="31" t="s">
        <v>11</v>
      </c>
    </row>
    <row r="75" spans="1:8" ht="14.4" x14ac:dyDescent="0.3">
      <c r="A75" s="2" t="s">
        <v>161</v>
      </c>
      <c r="B75" s="3" t="s">
        <v>11</v>
      </c>
      <c r="C75" s="3" t="s">
        <v>162</v>
      </c>
      <c r="D75" s="82" t="s">
        <v>163</v>
      </c>
      <c r="E75" s="82"/>
      <c r="F75" s="3" t="s">
        <v>50</v>
      </c>
      <c r="G75" s="22">
        <v>67.680000000000007</v>
      </c>
      <c r="H75" s="42">
        <v>0</v>
      </c>
    </row>
    <row r="76" spans="1:8" ht="14.4" x14ac:dyDescent="0.3">
      <c r="A76" s="2" t="s">
        <v>11</v>
      </c>
      <c r="B76" s="3" t="s">
        <v>11</v>
      </c>
      <c r="C76" s="3" t="s">
        <v>11</v>
      </c>
      <c r="D76" s="52" t="s">
        <v>166</v>
      </c>
      <c r="E76" s="118" t="s">
        <v>11</v>
      </c>
      <c r="F76" s="118"/>
      <c r="G76" s="53">
        <v>33.119999999999997</v>
      </c>
      <c r="H76" s="23" t="s">
        <v>11</v>
      </c>
    </row>
    <row r="77" spans="1:8" ht="14.4" x14ac:dyDescent="0.3">
      <c r="A77" s="43" t="s">
        <v>11</v>
      </c>
      <c r="B77" s="44" t="s">
        <v>11</v>
      </c>
      <c r="C77" s="44" t="s">
        <v>11</v>
      </c>
      <c r="D77" s="55" t="s">
        <v>167</v>
      </c>
      <c r="E77" s="119" t="s">
        <v>11</v>
      </c>
      <c r="F77" s="119"/>
      <c r="G77" s="56">
        <v>34.56</v>
      </c>
      <c r="H77" s="57" t="s">
        <v>11</v>
      </c>
    </row>
    <row r="79" spans="1:8" ht="14.4" x14ac:dyDescent="0.3">
      <c r="A79" s="37" t="s">
        <v>169</v>
      </c>
    </row>
    <row r="80" spans="1:8" ht="12.75" customHeight="1" x14ac:dyDescent="0.3">
      <c r="A80" s="81" t="s">
        <v>11</v>
      </c>
      <c r="B80" s="82"/>
      <c r="C80" s="82"/>
      <c r="D80" s="82"/>
      <c r="E80" s="82"/>
      <c r="F80" s="82"/>
      <c r="G80" s="82"/>
    </row>
  </sheetData>
  <mergeCells count="86"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D12:E12"/>
    <mergeCell ref="E13:F13"/>
    <mergeCell ref="D14:E14"/>
    <mergeCell ref="E15:F15"/>
    <mergeCell ref="D16:E16"/>
    <mergeCell ref="E17:F17"/>
    <mergeCell ref="D18:E18"/>
    <mergeCell ref="E19:F19"/>
    <mergeCell ref="D20:E20"/>
    <mergeCell ref="E21:F21"/>
    <mergeCell ref="E22:F22"/>
    <mergeCell ref="E23:F23"/>
    <mergeCell ref="E24:F24"/>
    <mergeCell ref="D25:E25"/>
    <mergeCell ref="E26:F26"/>
    <mergeCell ref="E27:F27"/>
    <mergeCell ref="E28:F28"/>
    <mergeCell ref="E29:F29"/>
    <mergeCell ref="D30:E30"/>
    <mergeCell ref="E31:F31"/>
    <mergeCell ref="E32:F32"/>
    <mergeCell ref="E33:F33"/>
    <mergeCell ref="E34:F34"/>
    <mergeCell ref="E35:F35"/>
    <mergeCell ref="D36:E36"/>
    <mergeCell ref="E37:F37"/>
    <mergeCell ref="E38:F38"/>
    <mergeCell ref="E39:F39"/>
    <mergeCell ref="E40:F40"/>
    <mergeCell ref="E41:F41"/>
    <mergeCell ref="D42:E42"/>
    <mergeCell ref="E43:F43"/>
    <mergeCell ref="D44:E44"/>
    <mergeCell ref="D45:E45"/>
    <mergeCell ref="D46:E46"/>
    <mergeCell ref="E47:F47"/>
    <mergeCell ref="D48:E48"/>
    <mergeCell ref="E49:F49"/>
    <mergeCell ref="D50:E50"/>
    <mergeCell ref="E51:F51"/>
    <mergeCell ref="D52:E52"/>
    <mergeCell ref="E53:F53"/>
    <mergeCell ref="D54:E54"/>
    <mergeCell ref="D55:E55"/>
    <mergeCell ref="D56:E56"/>
    <mergeCell ref="E57:F57"/>
    <mergeCell ref="E58:F58"/>
    <mergeCell ref="D59:E59"/>
    <mergeCell ref="E60:F60"/>
    <mergeCell ref="E61:F61"/>
    <mergeCell ref="D62:E62"/>
    <mergeCell ref="D63:E63"/>
    <mergeCell ref="D64:E64"/>
    <mergeCell ref="D65:E65"/>
    <mergeCell ref="D66:E66"/>
    <mergeCell ref="E67:F67"/>
    <mergeCell ref="D68:E68"/>
    <mergeCell ref="E69:F69"/>
    <mergeCell ref="D70:E70"/>
    <mergeCell ref="D71:E71"/>
    <mergeCell ref="D72:E72"/>
    <mergeCell ref="D73:E73"/>
    <mergeCell ref="D74:E74"/>
    <mergeCell ref="D75:E75"/>
    <mergeCell ref="E76:F76"/>
    <mergeCell ref="E77:F77"/>
    <mergeCell ref="A80:G80"/>
  </mergeCells>
  <pageMargins left="0.393999993801117" right="0.393999993801117" top="0.59100002050399802" bottom="0.591000020503998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D25" sqref="D2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57" t="s">
        <v>175</v>
      </c>
      <c r="B1" s="97"/>
      <c r="C1" s="97"/>
      <c r="D1" s="97"/>
      <c r="E1" s="97"/>
      <c r="F1" s="97"/>
      <c r="G1" s="97"/>
      <c r="H1" s="97"/>
      <c r="I1" s="97"/>
    </row>
    <row r="2" spans="1:9" ht="14.4" x14ac:dyDescent="0.3">
      <c r="A2" s="98" t="s">
        <v>1</v>
      </c>
      <c r="B2" s="93"/>
      <c r="C2" s="103" t="str">
        <f>'Stavební rozpočet'!C2</f>
        <v>Oprava kaple Urbanice</v>
      </c>
      <c r="D2" s="104"/>
      <c r="E2" s="102" t="s">
        <v>5</v>
      </c>
      <c r="F2" s="102" t="str">
        <f>'Stavební rozpočet'!I2</f>
        <v> </v>
      </c>
      <c r="G2" s="93"/>
      <c r="H2" s="102" t="s">
        <v>176</v>
      </c>
      <c r="I2" s="112" t="s">
        <v>11</v>
      </c>
    </row>
    <row r="3" spans="1:9" ht="15" customHeight="1" x14ac:dyDescent="0.3">
      <c r="A3" s="99"/>
      <c r="B3" s="82"/>
      <c r="C3" s="105"/>
      <c r="D3" s="105"/>
      <c r="E3" s="82"/>
      <c r="F3" s="82"/>
      <c r="G3" s="82"/>
      <c r="H3" s="82"/>
      <c r="I3" s="113"/>
    </row>
    <row r="4" spans="1:9" ht="14.4" x14ac:dyDescent="0.3">
      <c r="A4" s="100" t="s">
        <v>7</v>
      </c>
      <c r="B4" s="82"/>
      <c r="C4" s="81" t="str">
        <f>'Stavební rozpočet'!C4</f>
        <v xml:space="preserve"> </v>
      </c>
      <c r="D4" s="82"/>
      <c r="E4" s="81" t="s">
        <v>9</v>
      </c>
      <c r="F4" s="81" t="str">
        <f>'Stavební rozpočet'!I4</f>
        <v> </v>
      </c>
      <c r="G4" s="82"/>
      <c r="H4" s="81" t="s">
        <v>176</v>
      </c>
      <c r="I4" s="113" t="s">
        <v>11</v>
      </c>
    </row>
    <row r="5" spans="1:9" ht="15" customHeight="1" x14ac:dyDescent="0.3">
      <c r="A5" s="99"/>
      <c r="B5" s="82"/>
      <c r="C5" s="82"/>
      <c r="D5" s="82"/>
      <c r="E5" s="82"/>
      <c r="F5" s="82"/>
      <c r="G5" s="82"/>
      <c r="H5" s="82"/>
      <c r="I5" s="113"/>
    </row>
    <row r="6" spans="1:9" ht="14.4" x14ac:dyDescent="0.3">
      <c r="A6" s="100" t="s">
        <v>10</v>
      </c>
      <c r="B6" s="82"/>
      <c r="C6" s="81" t="str">
        <f>'Stavební rozpočet'!C6</f>
        <v xml:space="preserve"> </v>
      </c>
      <c r="D6" s="82"/>
      <c r="E6" s="81" t="s">
        <v>12</v>
      </c>
      <c r="F6" s="81" t="str">
        <f>'Stavební rozpočet'!I6</f>
        <v> </v>
      </c>
      <c r="G6" s="82"/>
      <c r="H6" s="81" t="s">
        <v>176</v>
      </c>
      <c r="I6" s="113" t="s">
        <v>11</v>
      </c>
    </row>
    <row r="7" spans="1:9" ht="15" customHeight="1" x14ac:dyDescent="0.3">
      <c r="A7" s="99"/>
      <c r="B7" s="82"/>
      <c r="C7" s="82"/>
      <c r="D7" s="82"/>
      <c r="E7" s="82"/>
      <c r="F7" s="82"/>
      <c r="G7" s="82"/>
      <c r="H7" s="82"/>
      <c r="I7" s="113"/>
    </row>
    <row r="8" spans="1:9" ht="14.4" x14ac:dyDescent="0.3">
      <c r="A8" s="100" t="s">
        <v>8</v>
      </c>
      <c r="B8" s="82"/>
      <c r="C8" s="81" t="str">
        <f>'Stavební rozpočet'!G4</f>
        <v xml:space="preserve"> </v>
      </c>
      <c r="D8" s="82"/>
      <c r="E8" s="81" t="s">
        <v>11</v>
      </c>
      <c r="F8" s="81" t="str">
        <f>'Stavební rozpočet'!G6</f>
        <v xml:space="preserve"> </v>
      </c>
      <c r="G8" s="82"/>
      <c r="H8" s="82" t="s">
        <v>177</v>
      </c>
      <c r="I8" s="158">
        <v>26</v>
      </c>
    </row>
    <row r="9" spans="1:9" ht="14.4" x14ac:dyDescent="0.3">
      <c r="A9" s="99"/>
      <c r="B9" s="82"/>
      <c r="C9" s="82"/>
      <c r="D9" s="82"/>
      <c r="E9" s="82"/>
      <c r="F9" s="82"/>
      <c r="G9" s="82"/>
      <c r="H9" s="82"/>
      <c r="I9" s="113"/>
    </row>
    <row r="10" spans="1:9" ht="14.4" x14ac:dyDescent="0.3">
      <c r="A10" s="100" t="s">
        <v>13</v>
      </c>
      <c r="B10" s="82"/>
      <c r="C10" s="81" t="str">
        <f>'Stavební rozpočet'!C8</f>
        <v xml:space="preserve"> </v>
      </c>
      <c r="D10" s="82"/>
      <c r="E10" s="81" t="s">
        <v>16</v>
      </c>
      <c r="F10" s="81" t="str">
        <f>'Stavební rozpočet'!I8</f>
        <v>Martin Misař</v>
      </c>
      <c r="G10" s="82"/>
      <c r="H10" s="82" t="s">
        <v>178</v>
      </c>
      <c r="I10" s="152" t="str">
        <f>'Stavební rozpočet'!G8</f>
        <v>15.02.2025</v>
      </c>
    </row>
    <row r="11" spans="1:9" ht="14.4" x14ac:dyDescent="0.3">
      <c r="A11" s="106"/>
      <c r="B11" s="107"/>
      <c r="C11" s="107"/>
      <c r="D11" s="107"/>
      <c r="E11" s="107"/>
      <c r="F11" s="107"/>
      <c r="G11" s="107"/>
      <c r="H11" s="107"/>
      <c r="I11" s="153"/>
    </row>
    <row r="12" spans="1:9" ht="22.8" x14ac:dyDescent="0.3">
      <c r="A12" s="154" t="s">
        <v>179</v>
      </c>
      <c r="B12" s="154"/>
      <c r="C12" s="154"/>
      <c r="D12" s="154"/>
      <c r="E12" s="154"/>
      <c r="F12" s="154"/>
      <c r="G12" s="154"/>
      <c r="H12" s="154"/>
      <c r="I12" s="154"/>
    </row>
    <row r="13" spans="1:9" ht="26.25" customHeight="1" x14ac:dyDescent="0.3">
      <c r="A13" s="58" t="s">
        <v>180</v>
      </c>
      <c r="B13" s="155" t="s">
        <v>181</v>
      </c>
      <c r="C13" s="156"/>
      <c r="D13" s="59" t="s">
        <v>182</v>
      </c>
      <c r="E13" s="155" t="s">
        <v>183</v>
      </c>
      <c r="F13" s="156"/>
      <c r="G13" s="59" t="s">
        <v>184</v>
      </c>
      <c r="H13" s="155" t="s">
        <v>185</v>
      </c>
      <c r="I13" s="156"/>
    </row>
    <row r="14" spans="1:9" s="73" customFormat="1" ht="13.8" x14ac:dyDescent="0.3">
      <c r="A14" s="69" t="s">
        <v>186</v>
      </c>
      <c r="B14" s="70" t="s">
        <v>187</v>
      </c>
      <c r="C14" s="71">
        <f>SUM('Stavební rozpočet'!AA12:AA78)</f>
        <v>0</v>
      </c>
      <c r="D14" s="142" t="s">
        <v>188</v>
      </c>
      <c r="E14" s="143"/>
      <c r="F14" s="71">
        <f>VORN!I15</f>
        <v>0</v>
      </c>
      <c r="G14" s="142" t="s">
        <v>189</v>
      </c>
      <c r="H14" s="143"/>
      <c r="I14" s="72">
        <f>VORN!I21</f>
        <v>0</v>
      </c>
    </row>
    <row r="15" spans="1:9" s="73" customFormat="1" ht="13.8" x14ac:dyDescent="0.3">
      <c r="A15" s="74" t="s">
        <v>11</v>
      </c>
      <c r="B15" s="70" t="s">
        <v>31</v>
      </c>
      <c r="C15" s="71">
        <f>SUM('Stavební rozpočet'!AB12:AB78)</f>
        <v>0</v>
      </c>
      <c r="D15" s="142" t="s">
        <v>190</v>
      </c>
      <c r="E15" s="143"/>
      <c r="F15" s="71">
        <f>VORN!I16</f>
        <v>0</v>
      </c>
      <c r="G15" s="142" t="s">
        <v>191</v>
      </c>
      <c r="H15" s="143"/>
      <c r="I15" s="72">
        <f>VORN!I22</f>
        <v>0</v>
      </c>
    </row>
    <row r="16" spans="1:9" s="73" customFormat="1" ht="13.8" x14ac:dyDescent="0.3">
      <c r="A16" s="69" t="s">
        <v>192</v>
      </c>
      <c r="B16" s="70" t="s">
        <v>187</v>
      </c>
      <c r="C16" s="71">
        <f>SUM('Stavební rozpočet'!AC12:AC78)</f>
        <v>0</v>
      </c>
      <c r="D16" s="142" t="s">
        <v>193</v>
      </c>
      <c r="E16" s="143"/>
      <c r="F16" s="71">
        <f>VORN!I17</f>
        <v>0</v>
      </c>
      <c r="G16" s="142" t="s">
        <v>194</v>
      </c>
      <c r="H16" s="143"/>
      <c r="I16" s="72">
        <f>VORN!I23</f>
        <v>0</v>
      </c>
    </row>
    <row r="17" spans="1:9" s="73" customFormat="1" ht="13.8" x14ac:dyDescent="0.3">
      <c r="A17" s="74" t="s">
        <v>11</v>
      </c>
      <c r="B17" s="70" t="s">
        <v>31</v>
      </c>
      <c r="C17" s="71">
        <f>SUM('Stavební rozpočet'!AD12:AD78)</f>
        <v>0</v>
      </c>
      <c r="D17" s="142" t="s">
        <v>11</v>
      </c>
      <c r="E17" s="143"/>
      <c r="F17" s="72" t="s">
        <v>11</v>
      </c>
      <c r="G17" s="142" t="s">
        <v>195</v>
      </c>
      <c r="H17" s="143"/>
      <c r="I17" s="72">
        <f>VORN!I24</f>
        <v>0</v>
      </c>
    </row>
    <row r="18" spans="1:9" s="73" customFormat="1" ht="13.8" x14ac:dyDescent="0.3">
      <c r="A18" s="69" t="s">
        <v>196</v>
      </c>
      <c r="B18" s="70" t="s">
        <v>187</v>
      </c>
      <c r="C18" s="71">
        <f>SUM('Stavební rozpočet'!AE12:AE78)</f>
        <v>0</v>
      </c>
      <c r="D18" s="142" t="s">
        <v>11</v>
      </c>
      <c r="E18" s="143"/>
      <c r="F18" s="72" t="s">
        <v>11</v>
      </c>
      <c r="G18" s="142" t="s">
        <v>197</v>
      </c>
      <c r="H18" s="143"/>
      <c r="I18" s="72">
        <f>VORN!I25</f>
        <v>0</v>
      </c>
    </row>
    <row r="19" spans="1:9" s="73" customFormat="1" ht="13.8" x14ac:dyDescent="0.3">
      <c r="A19" s="74" t="s">
        <v>11</v>
      </c>
      <c r="B19" s="70" t="s">
        <v>31</v>
      </c>
      <c r="C19" s="71">
        <f>SUM('Stavební rozpočet'!AF12:AF78)</f>
        <v>0</v>
      </c>
      <c r="D19" s="142" t="s">
        <v>11</v>
      </c>
      <c r="E19" s="143"/>
      <c r="F19" s="72" t="s">
        <v>11</v>
      </c>
      <c r="G19" s="142" t="s">
        <v>198</v>
      </c>
      <c r="H19" s="143"/>
      <c r="I19" s="72">
        <f>VORN!I26</f>
        <v>0</v>
      </c>
    </row>
    <row r="20" spans="1:9" s="73" customFormat="1" ht="13.8" x14ac:dyDescent="0.3">
      <c r="A20" s="134" t="s">
        <v>199</v>
      </c>
      <c r="B20" s="135"/>
      <c r="C20" s="71">
        <f>SUM('Stavební rozpočet'!AG12:AG78)</f>
        <v>0</v>
      </c>
      <c r="D20" s="142" t="s">
        <v>11</v>
      </c>
      <c r="E20" s="143"/>
      <c r="F20" s="72" t="s">
        <v>11</v>
      </c>
      <c r="G20" s="142" t="s">
        <v>11</v>
      </c>
      <c r="H20" s="143"/>
      <c r="I20" s="72" t="s">
        <v>11</v>
      </c>
    </row>
    <row r="21" spans="1:9" s="73" customFormat="1" ht="13.8" x14ac:dyDescent="0.3">
      <c r="A21" s="149" t="s">
        <v>200</v>
      </c>
      <c r="B21" s="150"/>
      <c r="C21" s="75">
        <f>SUM('Stavební rozpočet'!Y12:Y78)</f>
        <v>0</v>
      </c>
      <c r="D21" s="144" t="s">
        <v>11</v>
      </c>
      <c r="E21" s="145"/>
      <c r="F21" s="76" t="s">
        <v>11</v>
      </c>
      <c r="G21" s="144" t="s">
        <v>11</v>
      </c>
      <c r="H21" s="145"/>
      <c r="I21" s="76" t="s">
        <v>11</v>
      </c>
    </row>
    <row r="22" spans="1:9" s="73" customFormat="1" ht="16.5" customHeight="1" x14ac:dyDescent="0.3">
      <c r="A22" s="151" t="s">
        <v>201</v>
      </c>
      <c r="B22" s="147"/>
      <c r="C22" s="77">
        <f>SUM(C14:C21)</f>
        <v>0</v>
      </c>
      <c r="D22" s="146" t="s">
        <v>202</v>
      </c>
      <c r="E22" s="147"/>
      <c r="F22" s="77">
        <f>SUM(F14:F21)</f>
        <v>0</v>
      </c>
      <c r="G22" s="146" t="s">
        <v>203</v>
      </c>
      <c r="H22" s="147"/>
      <c r="I22" s="77">
        <f>SUM(I14:I21)</f>
        <v>0</v>
      </c>
    </row>
    <row r="23" spans="1:9" s="73" customFormat="1" ht="13.8" x14ac:dyDescent="0.3">
      <c r="D23" s="134" t="s">
        <v>204</v>
      </c>
      <c r="E23" s="135"/>
      <c r="F23" s="78">
        <v>0</v>
      </c>
      <c r="G23" s="148" t="s">
        <v>205</v>
      </c>
      <c r="H23" s="135"/>
      <c r="I23" s="71">
        <v>0</v>
      </c>
    </row>
    <row r="24" spans="1:9" s="73" customFormat="1" ht="13.8" x14ac:dyDescent="0.3">
      <c r="G24" s="134" t="s">
        <v>206</v>
      </c>
      <c r="H24" s="135"/>
      <c r="I24" s="75">
        <f>vorn_sum</f>
        <v>0</v>
      </c>
    </row>
    <row r="25" spans="1:9" s="73" customFormat="1" ht="13.8" x14ac:dyDescent="0.3">
      <c r="G25" s="134" t="s">
        <v>207</v>
      </c>
      <c r="H25" s="135"/>
      <c r="I25" s="77">
        <v>0</v>
      </c>
    </row>
    <row r="26" spans="1:9" s="73" customFormat="1" ht="15" customHeight="1" x14ac:dyDescent="0.3"/>
    <row r="27" spans="1:9" s="73" customFormat="1" ht="13.8" x14ac:dyDescent="0.3">
      <c r="A27" s="136" t="s">
        <v>208</v>
      </c>
      <c r="B27" s="137"/>
      <c r="C27" s="79">
        <f>SUM('Stavební rozpočet'!AI12:AI78)</f>
        <v>0</v>
      </c>
    </row>
    <row r="28" spans="1:9" s="73" customFormat="1" ht="13.8" x14ac:dyDescent="0.3">
      <c r="A28" s="138" t="s">
        <v>209</v>
      </c>
      <c r="B28" s="139"/>
      <c r="C28" s="80">
        <f>SUM('Stavební rozpočet'!AJ12:AJ78)</f>
        <v>0</v>
      </c>
      <c r="D28" s="140" t="s">
        <v>210</v>
      </c>
      <c r="E28" s="137"/>
      <c r="F28" s="79">
        <f>ROUND(C28*(12/100),2)</f>
        <v>0</v>
      </c>
      <c r="G28" s="140" t="s">
        <v>211</v>
      </c>
      <c r="H28" s="137"/>
      <c r="I28" s="79">
        <f>SUM(C27:C29)</f>
        <v>0</v>
      </c>
    </row>
    <row r="29" spans="1:9" s="73" customFormat="1" ht="13.8" x14ac:dyDescent="0.3">
      <c r="A29" s="138" t="s">
        <v>212</v>
      </c>
      <c r="B29" s="139"/>
      <c r="C29" s="80">
        <f>SUM('Stavební rozpočet'!AK12:AK78)+(F22+I22+F23+I23+I24+I25)</f>
        <v>0</v>
      </c>
      <c r="D29" s="141" t="s">
        <v>213</v>
      </c>
      <c r="E29" s="139"/>
      <c r="F29" s="80">
        <f>ROUND(C29*(21/100),2)</f>
        <v>0</v>
      </c>
      <c r="G29" s="141" t="s">
        <v>214</v>
      </c>
      <c r="H29" s="139"/>
      <c r="I29" s="80">
        <f>SUM(F28:F29)+I28</f>
        <v>0</v>
      </c>
    </row>
    <row r="30" spans="1:9" s="73" customFormat="1" ht="15" customHeight="1" x14ac:dyDescent="0.3"/>
    <row r="31" spans="1:9" s="73" customFormat="1" ht="13.8" x14ac:dyDescent="0.3">
      <c r="A31" s="131" t="s">
        <v>215</v>
      </c>
      <c r="B31" s="123"/>
      <c r="C31" s="124"/>
      <c r="D31" s="122" t="s">
        <v>216</v>
      </c>
      <c r="E31" s="123"/>
      <c r="F31" s="124"/>
      <c r="G31" s="122" t="s">
        <v>217</v>
      </c>
      <c r="H31" s="123"/>
      <c r="I31" s="124"/>
    </row>
    <row r="32" spans="1:9" s="73" customFormat="1" ht="13.8" x14ac:dyDescent="0.3">
      <c r="A32" s="132" t="s">
        <v>11</v>
      </c>
      <c r="B32" s="126"/>
      <c r="C32" s="127"/>
      <c r="D32" s="125" t="s">
        <v>11</v>
      </c>
      <c r="E32" s="126"/>
      <c r="F32" s="127"/>
      <c r="G32" s="125" t="s">
        <v>11</v>
      </c>
      <c r="H32" s="126"/>
      <c r="I32" s="127"/>
    </row>
    <row r="33" spans="1:9" s="73" customFormat="1" ht="13.8" x14ac:dyDescent="0.3">
      <c r="A33" s="132" t="s">
        <v>11</v>
      </c>
      <c r="B33" s="126"/>
      <c r="C33" s="127"/>
      <c r="D33" s="125" t="s">
        <v>11</v>
      </c>
      <c r="E33" s="126"/>
      <c r="F33" s="127"/>
      <c r="G33" s="125" t="s">
        <v>11</v>
      </c>
      <c r="H33" s="126"/>
      <c r="I33" s="127"/>
    </row>
    <row r="34" spans="1:9" s="73" customFormat="1" ht="13.8" x14ac:dyDescent="0.3">
      <c r="A34" s="132" t="s">
        <v>11</v>
      </c>
      <c r="B34" s="126"/>
      <c r="C34" s="127"/>
      <c r="D34" s="125" t="s">
        <v>11</v>
      </c>
      <c r="E34" s="126"/>
      <c r="F34" s="127"/>
      <c r="G34" s="125" t="s">
        <v>11</v>
      </c>
      <c r="H34" s="126"/>
      <c r="I34" s="127"/>
    </row>
    <row r="35" spans="1:9" s="73" customFormat="1" ht="13.8" x14ac:dyDescent="0.3">
      <c r="A35" s="133" t="s">
        <v>218</v>
      </c>
      <c r="B35" s="129"/>
      <c r="C35" s="130"/>
      <c r="D35" s="128" t="s">
        <v>218</v>
      </c>
      <c r="E35" s="129"/>
      <c r="F35" s="130"/>
      <c r="G35" s="128" t="s">
        <v>218</v>
      </c>
      <c r="H35" s="129"/>
      <c r="I35" s="130"/>
    </row>
    <row r="36" spans="1:9" ht="14.4" x14ac:dyDescent="0.3">
      <c r="A36" s="60" t="s">
        <v>169</v>
      </c>
    </row>
    <row r="37" spans="1:9" ht="12.75" customHeight="1" x14ac:dyDescent="0.3">
      <c r="A37" s="81" t="s">
        <v>11</v>
      </c>
      <c r="B37" s="82"/>
      <c r="C37" s="82"/>
      <c r="D37" s="82"/>
      <c r="E37" s="82"/>
      <c r="F37" s="82"/>
      <c r="G37" s="82"/>
      <c r="H37" s="82"/>
      <c r="I37" s="82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workbookViewId="0">
      <selection activeCell="A36" sqref="A36:E36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57" t="s">
        <v>219</v>
      </c>
      <c r="B1" s="97"/>
      <c r="C1" s="97"/>
      <c r="D1" s="97"/>
      <c r="E1" s="97"/>
      <c r="F1" s="97"/>
      <c r="G1" s="97"/>
      <c r="H1" s="97"/>
      <c r="I1" s="97"/>
    </row>
    <row r="2" spans="1:9" ht="14.4" x14ac:dyDescent="0.3">
      <c r="A2" s="98" t="s">
        <v>1</v>
      </c>
      <c r="B2" s="93"/>
      <c r="C2" s="103" t="str">
        <f>'Stavební rozpočet'!C2</f>
        <v>Oprava kaple Urbanice</v>
      </c>
      <c r="D2" s="104"/>
      <c r="E2" s="102" t="s">
        <v>5</v>
      </c>
      <c r="F2" s="102" t="str">
        <f>'Stavební rozpočet'!I2</f>
        <v> </v>
      </c>
      <c r="G2" s="93"/>
      <c r="H2" s="102" t="s">
        <v>176</v>
      </c>
      <c r="I2" s="112" t="s">
        <v>11</v>
      </c>
    </row>
    <row r="3" spans="1:9" ht="15" customHeight="1" x14ac:dyDescent="0.3">
      <c r="A3" s="99"/>
      <c r="B3" s="82"/>
      <c r="C3" s="105"/>
      <c r="D3" s="105"/>
      <c r="E3" s="82"/>
      <c r="F3" s="82"/>
      <c r="G3" s="82"/>
      <c r="H3" s="82"/>
      <c r="I3" s="113"/>
    </row>
    <row r="4" spans="1:9" ht="14.4" x14ac:dyDescent="0.3">
      <c r="A4" s="100" t="s">
        <v>7</v>
      </c>
      <c r="B4" s="82"/>
      <c r="C4" s="81" t="str">
        <f>'Stavební rozpočet'!C4</f>
        <v xml:space="preserve"> </v>
      </c>
      <c r="D4" s="82"/>
      <c r="E4" s="81" t="s">
        <v>9</v>
      </c>
      <c r="F4" s="81" t="str">
        <f>'Stavební rozpočet'!I4</f>
        <v> </v>
      </c>
      <c r="G4" s="82"/>
      <c r="H4" s="81" t="s">
        <v>176</v>
      </c>
      <c r="I4" s="113" t="s">
        <v>11</v>
      </c>
    </row>
    <row r="5" spans="1:9" ht="15" customHeight="1" x14ac:dyDescent="0.3">
      <c r="A5" s="99"/>
      <c r="B5" s="82"/>
      <c r="C5" s="82"/>
      <c r="D5" s="82"/>
      <c r="E5" s="82"/>
      <c r="F5" s="82"/>
      <c r="G5" s="82"/>
      <c r="H5" s="82"/>
      <c r="I5" s="113"/>
    </row>
    <row r="6" spans="1:9" ht="14.4" x14ac:dyDescent="0.3">
      <c r="A6" s="100" t="s">
        <v>10</v>
      </c>
      <c r="B6" s="82"/>
      <c r="C6" s="81" t="str">
        <f>'Stavební rozpočet'!C6</f>
        <v xml:space="preserve"> </v>
      </c>
      <c r="D6" s="82"/>
      <c r="E6" s="81" t="s">
        <v>12</v>
      </c>
      <c r="F6" s="81" t="str">
        <f>'Stavební rozpočet'!I6</f>
        <v> </v>
      </c>
      <c r="G6" s="82"/>
      <c r="H6" s="81" t="s">
        <v>176</v>
      </c>
      <c r="I6" s="113" t="s">
        <v>11</v>
      </c>
    </row>
    <row r="7" spans="1:9" ht="15" customHeight="1" x14ac:dyDescent="0.3">
      <c r="A7" s="99"/>
      <c r="B7" s="82"/>
      <c r="C7" s="82"/>
      <c r="D7" s="82"/>
      <c r="E7" s="82"/>
      <c r="F7" s="82"/>
      <c r="G7" s="82"/>
      <c r="H7" s="82"/>
      <c r="I7" s="113"/>
    </row>
    <row r="8" spans="1:9" ht="14.4" x14ac:dyDescent="0.3">
      <c r="A8" s="100" t="s">
        <v>8</v>
      </c>
      <c r="B8" s="82"/>
      <c r="C8" s="81" t="str">
        <f>'Stavební rozpočet'!G4</f>
        <v xml:space="preserve"> </v>
      </c>
      <c r="D8" s="82"/>
      <c r="E8" s="81" t="s">
        <v>11</v>
      </c>
      <c r="F8" s="81" t="str">
        <f>'Stavební rozpočet'!G6</f>
        <v xml:space="preserve"> </v>
      </c>
      <c r="G8" s="82"/>
      <c r="H8" s="82" t="s">
        <v>177</v>
      </c>
      <c r="I8" s="158">
        <v>26</v>
      </c>
    </row>
    <row r="9" spans="1:9" ht="14.4" x14ac:dyDescent="0.3">
      <c r="A9" s="99"/>
      <c r="B9" s="82"/>
      <c r="C9" s="82"/>
      <c r="D9" s="82"/>
      <c r="E9" s="82"/>
      <c r="F9" s="82"/>
      <c r="G9" s="82"/>
      <c r="H9" s="82"/>
      <c r="I9" s="113"/>
    </row>
    <row r="10" spans="1:9" ht="14.4" x14ac:dyDescent="0.3">
      <c r="A10" s="100" t="s">
        <v>13</v>
      </c>
      <c r="B10" s="82"/>
      <c r="C10" s="81" t="str">
        <f>'Stavební rozpočet'!C8</f>
        <v xml:space="preserve"> </v>
      </c>
      <c r="D10" s="82"/>
      <c r="E10" s="81" t="s">
        <v>16</v>
      </c>
      <c r="F10" s="81" t="str">
        <f>'Stavební rozpočet'!I8</f>
        <v>Martin Misař</v>
      </c>
      <c r="G10" s="82"/>
      <c r="H10" s="82" t="s">
        <v>178</v>
      </c>
      <c r="I10" s="152" t="str">
        <f>'Stavební rozpočet'!G8</f>
        <v>15.02.2025</v>
      </c>
    </row>
    <row r="11" spans="1:9" ht="14.4" x14ac:dyDescent="0.3">
      <c r="A11" s="106"/>
      <c r="B11" s="107"/>
      <c r="C11" s="107"/>
      <c r="D11" s="107"/>
      <c r="E11" s="107"/>
      <c r="F11" s="107"/>
      <c r="G11" s="107"/>
      <c r="H11" s="107"/>
      <c r="I11" s="153"/>
    </row>
    <row r="13" spans="1:9" ht="15.6" x14ac:dyDescent="0.3">
      <c r="A13" s="168" t="s">
        <v>220</v>
      </c>
      <c r="B13" s="168"/>
      <c r="C13" s="168"/>
      <c r="D13" s="168"/>
      <c r="E13" s="168"/>
    </row>
    <row r="14" spans="1:9" ht="14.4" x14ac:dyDescent="0.3">
      <c r="A14" s="169" t="s">
        <v>221</v>
      </c>
      <c r="B14" s="170"/>
      <c r="C14" s="170"/>
      <c r="D14" s="170"/>
      <c r="E14" s="171"/>
      <c r="F14" s="61" t="s">
        <v>222</v>
      </c>
      <c r="G14" s="61" t="s">
        <v>223</v>
      </c>
      <c r="H14" s="61" t="s">
        <v>224</v>
      </c>
      <c r="I14" s="61" t="s">
        <v>222</v>
      </c>
    </row>
    <row r="15" spans="1:9" ht="14.4" x14ac:dyDescent="0.3">
      <c r="A15" s="175" t="s">
        <v>188</v>
      </c>
      <c r="B15" s="176"/>
      <c r="C15" s="176"/>
      <c r="D15" s="176"/>
      <c r="E15" s="177"/>
      <c r="F15" s="62">
        <v>0</v>
      </c>
      <c r="G15" s="63" t="s">
        <v>11</v>
      </c>
      <c r="H15" s="63" t="s">
        <v>11</v>
      </c>
      <c r="I15" s="62">
        <f>F15</f>
        <v>0</v>
      </c>
    </row>
    <row r="16" spans="1:9" ht="14.4" x14ac:dyDescent="0.3">
      <c r="A16" s="175" t="s">
        <v>190</v>
      </c>
      <c r="B16" s="176"/>
      <c r="C16" s="176"/>
      <c r="D16" s="176"/>
      <c r="E16" s="177"/>
      <c r="F16" s="62">
        <v>0</v>
      </c>
      <c r="G16" s="63" t="s">
        <v>11</v>
      </c>
      <c r="H16" s="63" t="s">
        <v>11</v>
      </c>
      <c r="I16" s="62">
        <f>F16</f>
        <v>0</v>
      </c>
    </row>
    <row r="17" spans="1:9" ht="14.4" x14ac:dyDescent="0.3">
      <c r="A17" s="172" t="s">
        <v>193</v>
      </c>
      <c r="B17" s="173"/>
      <c r="C17" s="173"/>
      <c r="D17" s="173"/>
      <c r="E17" s="174"/>
      <c r="F17" s="64">
        <v>0</v>
      </c>
      <c r="G17" s="65" t="s">
        <v>11</v>
      </c>
      <c r="H17" s="65" t="s">
        <v>11</v>
      </c>
      <c r="I17" s="64">
        <f>F17</f>
        <v>0</v>
      </c>
    </row>
    <row r="18" spans="1:9" ht="14.4" x14ac:dyDescent="0.3">
      <c r="A18" s="159" t="s">
        <v>225</v>
      </c>
      <c r="B18" s="160"/>
      <c r="C18" s="160"/>
      <c r="D18" s="160"/>
      <c r="E18" s="161"/>
      <c r="F18" s="66" t="s">
        <v>11</v>
      </c>
      <c r="G18" s="67" t="s">
        <v>11</v>
      </c>
      <c r="H18" s="67" t="s">
        <v>11</v>
      </c>
      <c r="I18" s="68">
        <f>SUM(I15:I17)</f>
        <v>0</v>
      </c>
    </row>
    <row r="20" spans="1:9" ht="14.4" x14ac:dyDescent="0.3">
      <c r="A20" s="169" t="s">
        <v>185</v>
      </c>
      <c r="B20" s="170"/>
      <c r="C20" s="170"/>
      <c r="D20" s="170"/>
      <c r="E20" s="171"/>
      <c r="F20" s="61" t="s">
        <v>222</v>
      </c>
      <c r="G20" s="61" t="s">
        <v>223</v>
      </c>
      <c r="H20" s="61" t="s">
        <v>224</v>
      </c>
      <c r="I20" s="61" t="s">
        <v>222</v>
      </c>
    </row>
    <row r="21" spans="1:9" ht="14.4" x14ac:dyDescent="0.3">
      <c r="A21" s="175" t="s">
        <v>189</v>
      </c>
      <c r="B21" s="176"/>
      <c r="C21" s="176"/>
      <c r="D21" s="176"/>
      <c r="E21" s="177"/>
      <c r="F21" s="62">
        <v>0</v>
      </c>
      <c r="G21" s="63" t="s">
        <v>11</v>
      </c>
      <c r="H21" s="63" t="s">
        <v>11</v>
      </c>
      <c r="I21" s="62">
        <f t="shared" ref="I21:I26" si="0">F21</f>
        <v>0</v>
      </c>
    </row>
    <row r="22" spans="1:9" ht="14.4" x14ac:dyDescent="0.3">
      <c r="A22" s="175" t="s">
        <v>191</v>
      </c>
      <c r="B22" s="176"/>
      <c r="C22" s="176"/>
      <c r="D22" s="176"/>
      <c r="E22" s="177"/>
      <c r="F22" s="62">
        <v>0</v>
      </c>
      <c r="G22" s="63" t="s">
        <v>11</v>
      </c>
      <c r="H22" s="63" t="s">
        <v>11</v>
      </c>
      <c r="I22" s="62">
        <f t="shared" si="0"/>
        <v>0</v>
      </c>
    </row>
    <row r="23" spans="1:9" ht="14.4" x14ac:dyDescent="0.3">
      <c r="A23" s="175" t="s">
        <v>194</v>
      </c>
      <c r="B23" s="176"/>
      <c r="C23" s="176"/>
      <c r="D23" s="176"/>
      <c r="E23" s="177"/>
      <c r="F23" s="62">
        <v>0</v>
      </c>
      <c r="G23" s="63" t="s">
        <v>11</v>
      </c>
      <c r="H23" s="63" t="s">
        <v>11</v>
      </c>
      <c r="I23" s="62">
        <f t="shared" si="0"/>
        <v>0</v>
      </c>
    </row>
    <row r="24" spans="1:9" ht="14.4" x14ac:dyDescent="0.3">
      <c r="A24" s="175" t="s">
        <v>195</v>
      </c>
      <c r="B24" s="176"/>
      <c r="C24" s="176"/>
      <c r="D24" s="176"/>
      <c r="E24" s="177"/>
      <c r="F24" s="62">
        <v>0</v>
      </c>
      <c r="G24" s="63" t="s">
        <v>11</v>
      </c>
      <c r="H24" s="63" t="s">
        <v>11</v>
      </c>
      <c r="I24" s="62">
        <f t="shared" si="0"/>
        <v>0</v>
      </c>
    </row>
    <row r="25" spans="1:9" ht="14.4" x14ac:dyDescent="0.3">
      <c r="A25" s="175" t="s">
        <v>197</v>
      </c>
      <c r="B25" s="176"/>
      <c r="C25" s="176"/>
      <c r="D25" s="176"/>
      <c r="E25" s="177"/>
      <c r="F25" s="62">
        <v>0</v>
      </c>
      <c r="G25" s="63" t="s">
        <v>11</v>
      </c>
      <c r="H25" s="63" t="s">
        <v>11</v>
      </c>
      <c r="I25" s="62">
        <f t="shared" si="0"/>
        <v>0</v>
      </c>
    </row>
    <row r="26" spans="1:9" ht="14.4" x14ac:dyDescent="0.3">
      <c r="A26" s="172" t="s">
        <v>198</v>
      </c>
      <c r="B26" s="173"/>
      <c r="C26" s="173"/>
      <c r="D26" s="173"/>
      <c r="E26" s="174"/>
      <c r="F26" s="64">
        <v>0</v>
      </c>
      <c r="G26" s="65" t="s">
        <v>11</v>
      </c>
      <c r="H26" s="65" t="s">
        <v>11</v>
      </c>
      <c r="I26" s="64">
        <f t="shared" si="0"/>
        <v>0</v>
      </c>
    </row>
    <row r="27" spans="1:9" ht="14.4" x14ac:dyDescent="0.3">
      <c r="A27" s="159" t="s">
        <v>226</v>
      </c>
      <c r="B27" s="160"/>
      <c r="C27" s="160"/>
      <c r="D27" s="160"/>
      <c r="E27" s="161"/>
      <c r="F27" s="66" t="s">
        <v>11</v>
      </c>
      <c r="G27" s="67" t="s">
        <v>11</v>
      </c>
      <c r="H27" s="67" t="s">
        <v>11</v>
      </c>
      <c r="I27" s="68">
        <f>SUM(I21:I26)</f>
        <v>0</v>
      </c>
    </row>
    <row r="29" spans="1:9" ht="15.6" x14ac:dyDescent="0.3">
      <c r="A29" s="162" t="s">
        <v>227</v>
      </c>
      <c r="B29" s="163"/>
      <c r="C29" s="163"/>
      <c r="D29" s="163"/>
      <c r="E29" s="164"/>
      <c r="F29" s="165">
        <f>I18+I27</f>
        <v>0</v>
      </c>
      <c r="G29" s="166"/>
      <c r="H29" s="166"/>
      <c r="I29" s="167"/>
    </row>
    <row r="33" spans="1:9" ht="15.6" x14ac:dyDescent="0.3">
      <c r="A33" s="168" t="s">
        <v>228</v>
      </c>
      <c r="B33" s="168"/>
      <c r="C33" s="168"/>
      <c r="D33" s="168"/>
      <c r="E33" s="168"/>
    </row>
    <row r="34" spans="1:9" ht="14.4" x14ac:dyDescent="0.3">
      <c r="A34" s="169" t="s">
        <v>229</v>
      </c>
      <c r="B34" s="170"/>
      <c r="C34" s="170"/>
      <c r="D34" s="170"/>
      <c r="E34" s="171"/>
      <c r="F34" s="61" t="s">
        <v>222</v>
      </c>
      <c r="G34" s="61" t="s">
        <v>223</v>
      </c>
      <c r="H34" s="61" t="s">
        <v>224</v>
      </c>
      <c r="I34" s="61" t="s">
        <v>222</v>
      </c>
    </row>
    <row r="35" spans="1:9" ht="14.4" x14ac:dyDescent="0.3">
      <c r="A35" s="172" t="s">
        <v>11</v>
      </c>
      <c r="B35" s="173"/>
      <c r="C35" s="173"/>
      <c r="D35" s="173"/>
      <c r="E35" s="174"/>
      <c r="F35" s="64">
        <v>0</v>
      </c>
      <c r="G35" s="65" t="s">
        <v>11</v>
      </c>
      <c r="H35" s="65" t="s">
        <v>11</v>
      </c>
      <c r="I35" s="64">
        <f>F35</f>
        <v>0</v>
      </c>
    </row>
    <row r="36" spans="1:9" ht="14.4" x14ac:dyDescent="0.3">
      <c r="A36" s="159" t="s">
        <v>230</v>
      </c>
      <c r="B36" s="160"/>
      <c r="C36" s="160"/>
      <c r="D36" s="160"/>
      <c r="E36" s="161"/>
      <c r="F36" s="66" t="s">
        <v>11</v>
      </c>
      <c r="G36" s="67" t="s">
        <v>11</v>
      </c>
      <c r="H36" s="67" t="s">
        <v>11</v>
      </c>
      <c r="I36" s="68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Rozpočet - Jen podskupiny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 Vyčítal</cp:lastModifiedBy>
  <dcterms:created xsi:type="dcterms:W3CDTF">2021-06-10T20:06:38Z</dcterms:created>
  <dcterms:modified xsi:type="dcterms:W3CDTF">2026-07-21T08:46:12Z</dcterms:modified>
</cp:coreProperties>
</file>